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dc1\District Office\BUSINESS MANAGER\PAYROLL-PERSONNEL\2022-23\22-23 Salary Schedules\"/>
    </mc:Choice>
  </mc:AlternateContent>
  <bookViews>
    <workbookView xWindow="0" yWindow="0" windowWidth="28800" windowHeight="14100"/>
  </bookViews>
  <sheets>
    <sheet name="22-23 NEW" sheetId="20" r:id="rId1"/>
    <sheet name="2022-23 Approved" sheetId="16" r:id="rId2"/>
    <sheet name="OLD" sheetId="1" r:id="rId3"/>
    <sheet name="2021-22" sheetId="11" r:id="rId4"/>
    <sheet name="Out of Class Pay" sheetId="17" r:id="rId5"/>
    <sheet name="Stipend" sheetId="8" r:id="rId6"/>
    <sheet name="Proposed by CSEA" sheetId="13" r:id="rId7"/>
    <sheet name="22-23 Approved" sheetId="19" r:id="rId8"/>
  </sheets>
  <externalReferences>
    <externalReference r:id="rId9"/>
  </externalReferences>
  <definedNames>
    <definedName name="_xlnm.Print_Area" localSheetId="1">'2022-23 Approved'!$A$21:$O$58</definedName>
    <definedName name="_xlnm.Print_Area" localSheetId="0">'22-23 NEW'!$A$1:$U$20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0" l="1"/>
  <c r="H33" i="20" l="1"/>
  <c r="H31" i="20"/>
  <c r="D34" i="20"/>
  <c r="D32" i="20"/>
  <c r="D30" i="20"/>
  <c r="D29" i="20"/>
  <c r="D28" i="20"/>
  <c r="D27" i="20"/>
  <c r="D26" i="20"/>
  <c r="H26" i="20" s="1"/>
  <c r="D25" i="20"/>
  <c r="D24" i="20"/>
  <c r="D23" i="20"/>
  <c r="H22" i="20"/>
  <c r="H25" i="20" l="1"/>
  <c r="B6" i="20"/>
  <c r="L35" i="20"/>
  <c r="H34" i="20"/>
  <c r="H32" i="20"/>
  <c r="C32" i="20"/>
  <c r="H30" i="20"/>
  <c r="H29" i="20"/>
  <c r="C29" i="20"/>
  <c r="H28" i="20"/>
  <c r="C28" i="20"/>
  <c r="H27" i="20"/>
  <c r="H24" i="20"/>
  <c r="H23" i="20"/>
  <c r="B7" i="20" l="1"/>
  <c r="C7" i="20" s="1"/>
  <c r="D7" i="20" s="1"/>
  <c r="E7" i="20" s="1"/>
  <c r="F7" i="20" s="1"/>
  <c r="E33" i="20"/>
  <c r="E31" i="20"/>
  <c r="C6" i="20"/>
  <c r="E24" i="20"/>
  <c r="H36" i="20"/>
  <c r="E40" i="16"/>
  <c r="B7" i="19"/>
  <c r="C7" i="19" s="1"/>
  <c r="D7" i="19" s="1"/>
  <c r="E7" i="19" s="1"/>
  <c r="F7" i="19" s="1"/>
  <c r="G7" i="19" s="1"/>
  <c r="H7" i="19" s="1"/>
  <c r="I7" i="19" s="1"/>
  <c r="J7" i="19" s="1"/>
  <c r="K7" i="19" s="1"/>
  <c r="L7" i="19" s="1"/>
  <c r="M7" i="19" s="1"/>
  <c r="N7" i="19" s="1"/>
  <c r="O7" i="19" s="1"/>
  <c r="P7" i="19" s="1"/>
  <c r="Q7" i="19" s="1"/>
  <c r="R7" i="19" s="1"/>
  <c r="S7" i="19" s="1"/>
  <c r="T7" i="19" s="1"/>
  <c r="U7" i="19" s="1"/>
  <c r="C6" i="19"/>
  <c r="D6" i="19" s="1"/>
  <c r="E6" i="19" s="1"/>
  <c r="F6" i="19" s="1"/>
  <c r="G6" i="19" s="1"/>
  <c r="H6" i="19" s="1"/>
  <c r="I6" i="19" s="1"/>
  <c r="J6" i="19" s="1"/>
  <c r="K6" i="19" s="1"/>
  <c r="L6" i="19" s="1"/>
  <c r="M6" i="19" s="1"/>
  <c r="N6" i="19" s="1"/>
  <c r="O6" i="19" s="1"/>
  <c r="P6" i="19" s="1"/>
  <c r="Q6" i="19" s="1"/>
  <c r="R6" i="19" s="1"/>
  <c r="S6" i="19" s="1"/>
  <c r="T6" i="19" s="1"/>
  <c r="U6" i="19" s="1"/>
  <c r="E42" i="16"/>
  <c r="D57" i="16"/>
  <c r="G56" i="16"/>
  <c r="F56" i="16"/>
  <c r="E56" i="16"/>
  <c r="H56" i="16" s="1"/>
  <c r="G55" i="16"/>
  <c r="F55" i="16"/>
  <c r="E55" i="16"/>
  <c r="G54" i="16"/>
  <c r="F54" i="16"/>
  <c r="E54" i="16"/>
  <c r="G53" i="16"/>
  <c r="F53" i="16"/>
  <c r="E53" i="16"/>
  <c r="H53" i="16" s="1"/>
  <c r="G52" i="16"/>
  <c r="F52" i="16"/>
  <c r="E52" i="16"/>
  <c r="H52" i="16" s="1"/>
  <c r="G51" i="16"/>
  <c r="F51" i="16"/>
  <c r="E51" i="16"/>
  <c r="G50" i="16"/>
  <c r="F50" i="16"/>
  <c r="E50" i="16"/>
  <c r="G49" i="16"/>
  <c r="F49" i="16"/>
  <c r="E49" i="16"/>
  <c r="G48" i="16"/>
  <c r="F48" i="16"/>
  <c r="E48" i="16"/>
  <c r="H37" i="20" l="1"/>
  <c r="J37" i="20" s="1"/>
  <c r="F31" i="20"/>
  <c r="G31" i="20" s="1"/>
  <c r="I31" i="20"/>
  <c r="J31" i="20" s="1"/>
  <c r="K31" i="20" s="1"/>
  <c r="I33" i="20"/>
  <c r="J33" i="20" s="1"/>
  <c r="K33" i="20" s="1"/>
  <c r="F33" i="20"/>
  <c r="G33" i="20" s="1"/>
  <c r="B8" i="20"/>
  <c r="C8" i="20" s="1"/>
  <c r="D8" i="20" s="1"/>
  <c r="E8" i="20" s="1"/>
  <c r="D6" i="20"/>
  <c r="E6" i="20" s="1"/>
  <c r="F6" i="20" s="1"/>
  <c r="G6" i="20" s="1"/>
  <c r="E26" i="20"/>
  <c r="B9" i="20"/>
  <c r="C9" i="20" s="1"/>
  <c r="D9" i="20" s="1"/>
  <c r="E9" i="20" s="1"/>
  <c r="F9" i="20" s="1"/>
  <c r="G9" i="20" s="1"/>
  <c r="H9" i="20" s="1"/>
  <c r="I9" i="20" s="1"/>
  <c r="J9" i="20" s="1"/>
  <c r="K9" i="20" s="1"/>
  <c r="L9" i="20" s="1"/>
  <c r="M9" i="20" s="1"/>
  <c r="N9" i="20" s="1"/>
  <c r="O9" i="20" s="1"/>
  <c r="P9" i="20" s="1"/>
  <c r="Q9" i="20" s="1"/>
  <c r="R9" i="20" s="1"/>
  <c r="S9" i="20" s="1"/>
  <c r="T9" i="20" s="1"/>
  <c r="U9" i="20" s="1"/>
  <c r="G7" i="20"/>
  <c r="H7" i="20" s="1"/>
  <c r="I7" i="20" s="1"/>
  <c r="J7" i="20" s="1"/>
  <c r="K7" i="20" s="1"/>
  <c r="L7" i="20" s="1"/>
  <c r="M7" i="20" s="1"/>
  <c r="N7" i="20" s="1"/>
  <c r="O7" i="20" s="1"/>
  <c r="P7" i="20" s="1"/>
  <c r="Q7" i="20" s="1"/>
  <c r="R7" i="20" s="1"/>
  <c r="S7" i="20" s="1"/>
  <c r="T7" i="20" s="1"/>
  <c r="U7" i="20" s="1"/>
  <c r="E34" i="20"/>
  <c r="I24" i="20"/>
  <c r="J24" i="20" s="1"/>
  <c r="F24" i="20"/>
  <c r="G24" i="20" s="1"/>
  <c r="H49" i="16"/>
  <c r="H51" i="16"/>
  <c r="H55" i="16"/>
  <c r="H54" i="16"/>
  <c r="H48" i="16"/>
  <c r="H57" i="16" s="1"/>
  <c r="I57" i="16" s="1"/>
  <c r="B8" i="19"/>
  <c r="H50" i="16"/>
  <c r="H24" i="16"/>
  <c r="D31" i="16"/>
  <c r="H31" i="16" s="1"/>
  <c r="D30" i="16"/>
  <c r="H30" i="16" s="1"/>
  <c r="D29" i="16"/>
  <c r="H29" i="16" s="1"/>
  <c r="D28" i="16"/>
  <c r="H28" i="16" s="1"/>
  <c r="D27" i="16"/>
  <c r="H27" i="16" s="1"/>
  <c r="D26" i="16"/>
  <c r="H26" i="16" s="1"/>
  <c r="D25" i="16"/>
  <c r="H25" i="16" s="1"/>
  <c r="D23" i="16"/>
  <c r="H23" i="16" s="1"/>
  <c r="D22" i="16"/>
  <c r="H22" i="16" s="1"/>
  <c r="K24" i="20" l="1"/>
  <c r="M24" i="20"/>
  <c r="H38" i="20"/>
  <c r="F26" i="20"/>
  <c r="G26" i="20" s="1"/>
  <c r="I26" i="20"/>
  <c r="J26" i="20" s="1"/>
  <c r="E28" i="20"/>
  <c r="H6" i="20"/>
  <c r="I6" i="20" s="1"/>
  <c r="E23" i="20"/>
  <c r="F8" i="20"/>
  <c r="I34" i="20"/>
  <c r="J34" i="20" s="1"/>
  <c r="F34" i="20"/>
  <c r="G34" i="20" s="1"/>
  <c r="C8" i="19"/>
  <c r="D8" i="19" s="1"/>
  <c r="E8" i="19" s="1"/>
  <c r="F8" i="19" s="1"/>
  <c r="G8" i="19" s="1"/>
  <c r="H8" i="19" s="1"/>
  <c r="I8" i="19" s="1"/>
  <c r="J8" i="19" s="1"/>
  <c r="K8" i="19" s="1"/>
  <c r="L8" i="19" s="1"/>
  <c r="M8" i="19" s="1"/>
  <c r="N8" i="19" s="1"/>
  <c r="O8" i="19" s="1"/>
  <c r="P8" i="19" s="1"/>
  <c r="Q8" i="19" s="1"/>
  <c r="R8" i="19" s="1"/>
  <c r="S8" i="19" s="1"/>
  <c r="T8" i="19" s="1"/>
  <c r="U8" i="19" s="1"/>
  <c r="B9" i="19"/>
  <c r="C9" i="19" s="1"/>
  <c r="D9" i="19" s="1"/>
  <c r="E9" i="19" s="1"/>
  <c r="F9" i="19" s="1"/>
  <c r="G9" i="19" s="1"/>
  <c r="H9" i="19" s="1"/>
  <c r="I9" i="19" s="1"/>
  <c r="J9" i="19" s="1"/>
  <c r="K9" i="19" s="1"/>
  <c r="L9" i="19" s="1"/>
  <c r="M9" i="19" s="1"/>
  <c r="N9" i="19" s="1"/>
  <c r="O9" i="19" s="1"/>
  <c r="P9" i="19" s="1"/>
  <c r="Q9" i="19" s="1"/>
  <c r="R9" i="19" s="1"/>
  <c r="S9" i="19" s="1"/>
  <c r="T9" i="19" s="1"/>
  <c r="U9" i="19" s="1"/>
  <c r="E9" i="17"/>
  <c r="E8" i="17"/>
  <c r="E7" i="17"/>
  <c r="E6" i="17"/>
  <c r="K34" i="20" l="1"/>
  <c r="M34" i="20"/>
  <c r="K26" i="20"/>
  <c r="M26" i="20"/>
  <c r="E29" i="20"/>
  <c r="J6" i="20"/>
  <c r="I28" i="20"/>
  <c r="J28" i="20" s="1"/>
  <c r="F28" i="20"/>
  <c r="G28" i="20" s="1"/>
  <c r="G8" i="20"/>
  <c r="E22" i="20" s="1"/>
  <c r="E25" i="20"/>
  <c r="F25" i="20"/>
  <c r="G25" i="20" s="1"/>
  <c r="I25" i="20"/>
  <c r="J25" i="20" s="1"/>
  <c r="E30" i="20"/>
  <c r="H8" i="20"/>
  <c r="I8" i="20" s="1"/>
  <c r="J8" i="20" s="1"/>
  <c r="K8" i="20" s="1"/>
  <c r="L8" i="20" s="1"/>
  <c r="M8" i="20" s="1"/>
  <c r="N8" i="20" s="1"/>
  <c r="O8" i="20" s="1"/>
  <c r="P8" i="20" s="1"/>
  <c r="Q8" i="20" s="1"/>
  <c r="R8" i="20" s="1"/>
  <c r="I23" i="20"/>
  <c r="F23" i="20"/>
  <c r="G23" i="20" s="1"/>
  <c r="F9" i="8"/>
  <c r="E9" i="8"/>
  <c r="D9" i="8"/>
  <c r="K25" i="20" l="1"/>
  <c r="M25" i="20"/>
  <c r="K28" i="20"/>
  <c r="M28" i="20"/>
  <c r="K6" i="20"/>
  <c r="L6" i="20" s="1"/>
  <c r="M6" i="20" s="1"/>
  <c r="N6" i="20" s="1"/>
  <c r="O6" i="20" s="1"/>
  <c r="P6" i="20" s="1"/>
  <c r="Q6" i="20" s="1"/>
  <c r="R6" i="20" s="1"/>
  <c r="S6" i="20" s="1"/>
  <c r="T6" i="20" s="1"/>
  <c r="U6" i="20" s="1"/>
  <c r="E32" i="20"/>
  <c r="F22" i="20"/>
  <c r="G22" i="20" s="1"/>
  <c r="I22" i="20"/>
  <c r="J22" i="20" s="1"/>
  <c r="F29" i="20"/>
  <c r="G29" i="20" s="1"/>
  <c r="I29" i="20"/>
  <c r="J29" i="20" s="1"/>
  <c r="S8" i="20"/>
  <c r="T8" i="20" s="1"/>
  <c r="U8" i="20" s="1"/>
  <c r="E27" i="20"/>
  <c r="J23" i="20"/>
  <c r="M23" i="20" s="1"/>
  <c r="F30" i="20"/>
  <c r="G30" i="20" s="1"/>
  <c r="I30" i="20"/>
  <c r="J30" i="20" s="1"/>
  <c r="G9" i="8"/>
  <c r="E28" i="16"/>
  <c r="K22" i="20" l="1"/>
  <c r="M22" i="20"/>
  <c r="K30" i="20"/>
  <c r="M30" i="20"/>
  <c r="K29" i="20"/>
  <c r="M29" i="20"/>
  <c r="F32" i="20"/>
  <c r="G32" i="20" s="1"/>
  <c r="I32" i="20"/>
  <c r="J32" i="20" s="1"/>
  <c r="K23" i="20"/>
  <c r="F27" i="20"/>
  <c r="G27" i="20" s="1"/>
  <c r="I27" i="20"/>
  <c r="I28" i="16"/>
  <c r="F28" i="16"/>
  <c r="B7" i="16"/>
  <c r="B8" i="16" s="1"/>
  <c r="B9" i="16" s="1"/>
  <c r="K32" i="20" l="1"/>
  <c r="M32" i="20"/>
  <c r="J27" i="20"/>
  <c r="M27" i="20" s="1"/>
  <c r="M35" i="20" s="1"/>
  <c r="J39" i="20" s="1"/>
  <c r="I36" i="20"/>
  <c r="I38" i="20" s="1"/>
  <c r="I34" i="16"/>
  <c r="H34" i="16"/>
  <c r="L32" i="16"/>
  <c r="C30" i="16"/>
  <c r="C27" i="16"/>
  <c r="C26" i="16"/>
  <c r="C9" i="16"/>
  <c r="D9" i="16" s="1"/>
  <c r="E9" i="16" s="1"/>
  <c r="F9" i="16" s="1"/>
  <c r="G9" i="16" s="1"/>
  <c r="H9" i="16" s="1"/>
  <c r="I9" i="16" s="1"/>
  <c r="J9" i="16" s="1"/>
  <c r="K9" i="16" s="1"/>
  <c r="L9" i="16" s="1"/>
  <c r="M9" i="16" s="1"/>
  <c r="N9" i="16" s="1"/>
  <c r="O9" i="16" s="1"/>
  <c r="P9" i="16" s="1"/>
  <c r="Q9" i="16" s="1"/>
  <c r="R9" i="16" s="1"/>
  <c r="S9" i="16" s="1"/>
  <c r="T9" i="16" s="1"/>
  <c r="U9" i="16" s="1"/>
  <c r="C8" i="16"/>
  <c r="D8" i="16" s="1"/>
  <c r="E8" i="16" s="1"/>
  <c r="C7" i="16"/>
  <c r="D7" i="16" s="1"/>
  <c r="E23" i="16" s="1"/>
  <c r="C6" i="16"/>
  <c r="D6" i="16" s="1"/>
  <c r="E6" i="16" s="1"/>
  <c r="F6" i="16" s="1"/>
  <c r="G6" i="16" s="1"/>
  <c r="K27" i="20" l="1"/>
  <c r="K35" i="20" s="1"/>
  <c r="J36" i="20"/>
  <c r="E24" i="16"/>
  <c r="E22" i="16"/>
  <c r="G28" i="16"/>
  <c r="J34" i="16"/>
  <c r="E7" i="16"/>
  <c r="F7" i="16" s="1"/>
  <c r="H6" i="16"/>
  <c r="I6" i="16" s="1"/>
  <c r="E26" i="16"/>
  <c r="I23" i="16"/>
  <c r="F8" i="16"/>
  <c r="G8" i="16" s="1"/>
  <c r="E29" i="16" s="1"/>
  <c r="J28" i="16"/>
  <c r="K28" i="16" s="1"/>
  <c r="J38" i="20" l="1"/>
  <c r="J40" i="20" s="1"/>
  <c r="M39" i="20"/>
  <c r="M35" i="16"/>
  <c r="F41" i="16"/>
  <c r="G7" i="16"/>
  <c r="H7" i="16" s="1"/>
  <c r="I7" i="16" s="1"/>
  <c r="J7" i="16" s="1"/>
  <c r="K7" i="16" s="1"/>
  <c r="L7" i="16" s="1"/>
  <c r="M7" i="16" s="1"/>
  <c r="N7" i="16" s="1"/>
  <c r="O7" i="16" s="1"/>
  <c r="P7" i="16" s="1"/>
  <c r="Q7" i="16" s="1"/>
  <c r="R7" i="16" s="1"/>
  <c r="S7" i="16" s="1"/>
  <c r="T7" i="16" s="1"/>
  <c r="U7" i="16" s="1"/>
  <c r="E31" i="16"/>
  <c r="I22" i="16"/>
  <c r="I26" i="16"/>
  <c r="H8" i="16"/>
  <c r="I8" i="16" s="1"/>
  <c r="J8" i="16" s="1"/>
  <c r="K8" i="16" s="1"/>
  <c r="L8" i="16" s="1"/>
  <c r="M8" i="16" s="1"/>
  <c r="N8" i="16" s="1"/>
  <c r="O8" i="16" s="1"/>
  <c r="P8" i="16" s="1"/>
  <c r="Q8" i="16" s="1"/>
  <c r="R8" i="16" s="1"/>
  <c r="E25" i="16" s="1"/>
  <c r="I24" i="16"/>
  <c r="E27" i="16"/>
  <c r="J6" i="16"/>
  <c r="I31" i="16" l="1"/>
  <c r="S8" i="16"/>
  <c r="T8" i="16" s="1"/>
  <c r="U8" i="16" s="1"/>
  <c r="I27" i="16"/>
  <c r="E30" i="16"/>
  <c r="K6" i="16"/>
  <c r="L6" i="16" s="1"/>
  <c r="M6" i="16" s="1"/>
  <c r="N6" i="16" s="1"/>
  <c r="O6" i="16" s="1"/>
  <c r="P6" i="16" s="1"/>
  <c r="Q6" i="16" s="1"/>
  <c r="R6" i="16" s="1"/>
  <c r="S6" i="16" s="1"/>
  <c r="T6" i="16" s="1"/>
  <c r="U6" i="16" s="1"/>
  <c r="I29" i="16"/>
  <c r="I25" i="16" l="1"/>
  <c r="I30" i="16"/>
  <c r="I33" i="16" l="1"/>
  <c r="I35" i="16" s="1"/>
  <c r="I41" i="13" l="1"/>
  <c r="C7" i="13" l="1"/>
  <c r="D7" i="13" s="1"/>
  <c r="E7" i="13" s="1"/>
  <c r="F7" i="13" s="1"/>
  <c r="G7" i="13" s="1"/>
  <c r="H7" i="13" s="1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C10" i="13"/>
  <c r="D10" i="13" s="1"/>
  <c r="E10" i="13" s="1"/>
  <c r="F10" i="13" s="1"/>
  <c r="G10" i="13" s="1"/>
  <c r="H10" i="13" s="1"/>
  <c r="I10" i="13" s="1"/>
  <c r="J10" i="13" s="1"/>
  <c r="K10" i="13" s="1"/>
  <c r="L10" i="13" s="1"/>
  <c r="M10" i="13" s="1"/>
  <c r="N10" i="13" s="1"/>
  <c r="O10" i="13" s="1"/>
  <c r="P10" i="13" s="1"/>
  <c r="Q10" i="13" s="1"/>
  <c r="R10" i="13" s="1"/>
  <c r="S10" i="13" s="1"/>
  <c r="T10" i="13" s="1"/>
  <c r="U10" i="13" s="1"/>
  <c r="C9" i="13"/>
  <c r="D9" i="13" s="1"/>
  <c r="E9" i="13" s="1"/>
  <c r="F9" i="13" s="1"/>
  <c r="G9" i="13" s="1"/>
  <c r="H9" i="13" s="1"/>
  <c r="I9" i="13" s="1"/>
  <c r="J9" i="13" s="1"/>
  <c r="K9" i="13" s="1"/>
  <c r="L9" i="13" s="1"/>
  <c r="M9" i="13" s="1"/>
  <c r="N9" i="13" s="1"/>
  <c r="O9" i="13" s="1"/>
  <c r="P9" i="13" s="1"/>
  <c r="Q9" i="13" s="1"/>
  <c r="R9" i="13" s="1"/>
  <c r="S9" i="13" s="1"/>
  <c r="T9" i="13" s="1"/>
  <c r="U9" i="13" s="1"/>
  <c r="C8" i="13"/>
  <c r="D8" i="13" s="1"/>
  <c r="C6" i="13"/>
  <c r="D6" i="13" s="1"/>
  <c r="E6" i="13" s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R6" i="13" s="1"/>
  <c r="S6" i="13" s="1"/>
  <c r="T6" i="13" s="1"/>
  <c r="U6" i="13" s="1"/>
  <c r="E29" i="13"/>
  <c r="C32" i="13"/>
  <c r="C31" i="13"/>
  <c r="C30" i="13"/>
  <c r="D29" i="13"/>
  <c r="C28" i="13"/>
  <c r="C27" i="13"/>
  <c r="C26" i="13"/>
  <c r="C25" i="13"/>
  <c r="C24" i="13"/>
  <c r="C23" i="13"/>
  <c r="F29" i="13" l="1"/>
  <c r="G29" i="13" s="1"/>
  <c r="E8" i="13"/>
  <c r="F8" i="13" s="1"/>
  <c r="G8" i="13" s="1"/>
  <c r="H8" i="13" s="1"/>
  <c r="I8" i="13" s="1"/>
  <c r="J8" i="13" s="1"/>
  <c r="K8" i="13" s="1"/>
  <c r="L8" i="13" s="1"/>
  <c r="M8" i="13" s="1"/>
  <c r="N8" i="13" s="1"/>
  <c r="O8" i="13" s="1"/>
  <c r="P8" i="13" s="1"/>
  <c r="Q8" i="13" s="1"/>
  <c r="R8" i="13" s="1"/>
  <c r="S8" i="13" s="1"/>
  <c r="T8" i="13" s="1"/>
  <c r="U8" i="13" s="1"/>
  <c r="E24" i="13"/>
  <c r="E27" i="13"/>
  <c r="E25" i="13"/>
  <c r="E23" i="13"/>
  <c r="I29" i="13"/>
  <c r="E32" i="13" l="1"/>
  <c r="I23" i="13"/>
  <c r="I24" i="13"/>
  <c r="E30" i="13"/>
  <c r="I27" i="13"/>
  <c r="I25" i="13"/>
  <c r="E28" i="13"/>
  <c r="I30" i="13" l="1"/>
  <c r="I28" i="13"/>
  <c r="E26" i="13"/>
  <c r="E31" i="13"/>
  <c r="I32" i="13"/>
  <c r="I26" i="13" l="1"/>
  <c r="I31" i="13"/>
  <c r="I33" i="13" l="1"/>
  <c r="H29" i="13" l="1"/>
  <c r="J29" i="13" l="1"/>
  <c r="K29" i="13" l="1"/>
  <c r="C10" i="11"/>
  <c r="D10" i="11" s="1"/>
  <c r="E10" i="11" s="1"/>
  <c r="F10" i="11" s="1"/>
  <c r="G10" i="11" s="1"/>
  <c r="H10" i="11" s="1"/>
  <c r="I10" i="11" s="1"/>
  <c r="J10" i="11" s="1"/>
  <c r="K10" i="11" s="1"/>
  <c r="L10" i="11" s="1"/>
  <c r="M10" i="11" s="1"/>
  <c r="N10" i="11" s="1"/>
  <c r="O10" i="11" s="1"/>
  <c r="P10" i="11" s="1"/>
  <c r="Q10" i="11" s="1"/>
  <c r="R10" i="11" s="1"/>
  <c r="S10" i="11" s="1"/>
  <c r="T10" i="11" s="1"/>
  <c r="U10" i="11" s="1"/>
  <c r="C9" i="11"/>
  <c r="D9" i="11" s="1"/>
  <c r="E8" i="11"/>
  <c r="D8" i="11"/>
  <c r="C8" i="11"/>
  <c r="D7" i="11"/>
  <c r="E7" i="11" s="1"/>
  <c r="F7" i="11" s="1"/>
  <c r="G7" i="11" s="1"/>
  <c r="H7" i="11" s="1"/>
  <c r="I7" i="11" s="1"/>
  <c r="J7" i="11" s="1"/>
  <c r="K7" i="11" s="1"/>
  <c r="L7" i="11" s="1"/>
  <c r="M7" i="11" s="1"/>
  <c r="N7" i="11" s="1"/>
  <c r="O7" i="11" s="1"/>
  <c r="P7" i="11" s="1"/>
  <c r="Q7" i="11" s="1"/>
  <c r="R7" i="11" s="1"/>
  <c r="S7" i="11" s="1"/>
  <c r="T7" i="11" s="1"/>
  <c r="U7" i="11" s="1"/>
  <c r="C7" i="11"/>
  <c r="C6" i="11"/>
  <c r="D6" i="11" s="1"/>
  <c r="E6" i="11" s="1"/>
  <c r="F6" i="11" s="1"/>
  <c r="G6" i="11" l="1"/>
  <c r="H6" i="11" s="1"/>
  <c r="E9" i="11"/>
  <c r="F9" i="11" s="1"/>
  <c r="F8" i="11"/>
  <c r="G8" i="11" s="1"/>
  <c r="H8" i="11" s="1"/>
  <c r="I8" i="11" s="1"/>
  <c r="J8" i="11" s="1"/>
  <c r="K8" i="11" s="1"/>
  <c r="L8" i="11" s="1"/>
  <c r="M8" i="11" s="1"/>
  <c r="N8" i="11" s="1"/>
  <c r="O8" i="11" s="1"/>
  <c r="P8" i="11" s="1"/>
  <c r="Q8" i="11" s="1"/>
  <c r="R8" i="11" s="1"/>
  <c r="S8" i="11" s="1"/>
  <c r="T8" i="11" s="1"/>
  <c r="U8" i="11" s="1"/>
  <c r="I6" i="11" l="1"/>
  <c r="G9" i="11"/>
  <c r="H9" i="11" s="1"/>
  <c r="I9" i="11" s="1"/>
  <c r="J9" i="11" s="1"/>
  <c r="K9" i="11" s="1"/>
  <c r="L9" i="11" s="1"/>
  <c r="M9" i="11" s="1"/>
  <c r="N9" i="11" s="1"/>
  <c r="O9" i="11" s="1"/>
  <c r="P9" i="11" s="1"/>
  <c r="Q9" i="11" s="1"/>
  <c r="R9" i="11" l="1"/>
  <c r="S9" i="11" s="1"/>
  <c r="T9" i="11" s="1"/>
  <c r="U9" i="11" s="1"/>
  <c r="J6" i="1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E14" i="8" l="1"/>
  <c r="E13" i="8"/>
  <c r="F12" i="8"/>
  <c r="F11" i="8"/>
  <c r="F7" i="8"/>
  <c r="D6" i="8"/>
  <c r="E8" i="8"/>
  <c r="F10" i="8"/>
  <c r="E6" i="8"/>
  <c r="D7" i="8" l="1"/>
  <c r="D10" i="8"/>
  <c r="F6" i="8"/>
  <c r="G6" i="8" s="1"/>
  <c r="F8" i="8"/>
  <c r="D14" i="8"/>
  <c r="D8" i="8"/>
  <c r="D11" i="8"/>
  <c r="F14" i="8"/>
  <c r="E11" i="8"/>
  <c r="F13" i="8"/>
  <c r="D13" i="8"/>
  <c r="D12" i="8"/>
  <c r="E7" i="8"/>
  <c r="E10" i="8"/>
  <c r="E12" i="8"/>
  <c r="C15" i="8"/>
  <c r="G10" i="8" l="1"/>
  <c r="G7" i="8"/>
  <c r="G8" i="8"/>
  <c r="G11" i="8"/>
  <c r="G13" i="8"/>
  <c r="G14" i="8"/>
  <c r="G12" i="8"/>
  <c r="G15" i="8" l="1"/>
  <c r="H15" i="8" s="1"/>
  <c r="J22" i="16" l="1"/>
  <c r="H23" i="13"/>
  <c r="J30" i="16"/>
  <c r="K30" i="16" s="1"/>
  <c r="H31" i="13"/>
  <c r="J31" i="13" s="1"/>
  <c r="K31" i="13" s="1"/>
  <c r="F31" i="16"/>
  <c r="G31" i="16" s="1"/>
  <c r="D32" i="13"/>
  <c r="F32" i="13" s="1"/>
  <c r="G32" i="13" s="1"/>
  <c r="F26" i="16"/>
  <c r="G26" i="16" s="1"/>
  <c r="D27" i="13"/>
  <c r="F27" i="13" s="1"/>
  <c r="G27" i="13" s="1"/>
  <c r="F24" i="16"/>
  <c r="G24" i="16" s="1"/>
  <c r="D25" i="13"/>
  <c r="F25" i="13" s="1"/>
  <c r="G25" i="13" s="1"/>
  <c r="F22" i="16"/>
  <c r="G22" i="16" s="1"/>
  <c r="D23" i="13"/>
  <c r="F23" i="13" s="1"/>
  <c r="G23" i="13" s="1"/>
  <c r="F27" i="16"/>
  <c r="G27" i="16" s="1"/>
  <c r="D28" i="13"/>
  <c r="F28" i="13" s="1"/>
  <c r="G28" i="13" s="1"/>
  <c r="F25" i="16"/>
  <c r="G25" i="16" s="1"/>
  <c r="D26" i="13"/>
  <c r="F26" i="13" s="1"/>
  <c r="G26" i="13" s="1"/>
  <c r="F23" i="16"/>
  <c r="G23" i="16" s="1"/>
  <c r="D24" i="13"/>
  <c r="F24" i="13" s="1"/>
  <c r="G24" i="13" s="1"/>
  <c r="F30" i="16"/>
  <c r="G30" i="16" s="1"/>
  <c r="D31" i="13"/>
  <c r="F31" i="13" s="1"/>
  <c r="G31" i="13" s="1"/>
  <c r="J31" i="16" l="1"/>
  <c r="K31" i="16" s="1"/>
  <c r="H32" i="13"/>
  <c r="J32" i="13" s="1"/>
  <c r="K32" i="13" s="1"/>
  <c r="J23" i="16"/>
  <c r="K23" i="16" s="1"/>
  <c r="H24" i="13"/>
  <c r="J24" i="13" s="1"/>
  <c r="K24" i="13" s="1"/>
  <c r="F29" i="16"/>
  <c r="G29" i="16" s="1"/>
  <c r="D30" i="13"/>
  <c r="F30" i="13" s="1"/>
  <c r="G30" i="13" s="1"/>
  <c r="J23" i="13"/>
  <c r="J29" i="16"/>
  <c r="K29" i="16" s="1"/>
  <c r="H30" i="13"/>
  <c r="J30" i="13" s="1"/>
  <c r="K30" i="13" s="1"/>
  <c r="J27" i="16"/>
  <c r="K27" i="16" s="1"/>
  <c r="H28" i="13"/>
  <c r="J28" i="13" s="1"/>
  <c r="K28" i="13" s="1"/>
  <c r="J25" i="16"/>
  <c r="K25" i="16" s="1"/>
  <c r="H26" i="13"/>
  <c r="J26" i="13" s="1"/>
  <c r="K26" i="13" s="1"/>
  <c r="J24" i="16"/>
  <c r="K24" i="16" s="1"/>
  <c r="H25" i="13"/>
  <c r="J25" i="13" s="1"/>
  <c r="K25" i="13" s="1"/>
  <c r="J26" i="16"/>
  <c r="K26" i="16" s="1"/>
  <c r="H27" i="13"/>
  <c r="J27" i="13" s="1"/>
  <c r="K27" i="13" s="1"/>
  <c r="K22" i="16" l="1"/>
  <c r="K32" i="16" s="1"/>
  <c r="J33" i="16"/>
  <c r="K23" i="13"/>
  <c r="J33" i="13"/>
  <c r="H33" i="16"/>
  <c r="F40" i="16" s="1"/>
  <c r="B40" i="16" s="1"/>
  <c r="H33" i="13"/>
  <c r="F39" i="16" l="1"/>
  <c r="B39" i="16" s="1"/>
  <c r="M34" i="16"/>
  <c r="H35" i="16"/>
  <c r="M36" i="16"/>
  <c r="B41" i="16"/>
  <c r="J35" i="16"/>
  <c r="J34" i="13"/>
  <c r="B42" i="16" l="1"/>
  <c r="M37" i="16"/>
  <c r="F42" i="16"/>
</calcChain>
</file>

<file path=xl/sharedStrings.xml><?xml version="1.0" encoding="utf-8"?>
<sst xmlns="http://schemas.openxmlformats.org/spreadsheetml/2006/main" count="293" uniqueCount="107">
  <si>
    <t>STEPS</t>
  </si>
  <si>
    <t>RANGE</t>
  </si>
  <si>
    <t>A</t>
  </si>
  <si>
    <t>B</t>
  </si>
  <si>
    <t>C</t>
  </si>
  <si>
    <t>D</t>
  </si>
  <si>
    <t>E</t>
  </si>
  <si>
    <t>INSTRUCTIONAL AIDES, NOON DUTY SUPERVISORS, FOOD DISTRIBUTORS</t>
  </si>
  <si>
    <t>FOOD FACILITATOR, LIBRARY TECHNICIAN, TITLE I INSTRUCTIONAL AIDE</t>
  </si>
  <si>
    <t>CUSTODIAN, GROUNDSKEEPER</t>
  </si>
  <si>
    <t>SECRETARY, MAINTENANCE, ATTENDANCE CLERK, KITCHEN MANAGER, REGISTRAR</t>
  </si>
  <si>
    <t>BUS DRIVER</t>
  </si>
  <si>
    <t xml:space="preserve">FORT SAGE UNIFIED SCHOOL DISTRICT </t>
  </si>
  <si>
    <t>7% BETWEEN ROWS A-E (JOB CLASSIFICATIONS) AND YEARLY 3% STEP</t>
  </si>
  <si>
    <t>Range/Step</t>
  </si>
  <si>
    <t>Name</t>
  </si>
  <si>
    <t>Current Rate</t>
  </si>
  <si>
    <t>New Rate</t>
  </si>
  <si>
    <t>Bowman</t>
  </si>
  <si>
    <t>Difference</t>
  </si>
  <si>
    <t>Dunn</t>
  </si>
  <si>
    <t>Hodson</t>
  </si>
  <si>
    <t>Hulsey</t>
  </si>
  <si>
    <t>Lee</t>
  </si>
  <si>
    <t>Spoon</t>
  </si>
  <si>
    <t>Veerkamp</t>
  </si>
  <si>
    <t>Old Annual</t>
  </si>
  <si>
    <t>New Annual</t>
  </si>
  <si>
    <t>Chaffee</t>
  </si>
  <si>
    <t>CLASSIFIED SALARY SCHEDULE 2021-22</t>
  </si>
  <si>
    <t>Increase</t>
  </si>
  <si>
    <t>OASDI</t>
  </si>
  <si>
    <t>SUI</t>
  </si>
  <si>
    <t>WC</t>
  </si>
  <si>
    <t>Total</t>
  </si>
  <si>
    <t>Stipend Amount</t>
  </si>
  <si>
    <t>BOARD APPROVED May 27, 2021</t>
  </si>
  <si>
    <t>Classified</t>
  </si>
  <si>
    <t>Harkema</t>
  </si>
  <si>
    <t>COLA</t>
  </si>
  <si>
    <t xml:space="preserve">BOARD APPROVED </t>
  </si>
  <si>
    <t>YEARLY 3% STEP 1-20</t>
  </si>
  <si>
    <t>Fixed Costs</t>
  </si>
  <si>
    <t>Salary</t>
  </si>
  <si>
    <t>One-time</t>
  </si>
  <si>
    <t>CLASSIFIED SALARY SCHEDULE 2022-23</t>
  </si>
  <si>
    <t>Vacant-Food Facilitator</t>
  </si>
  <si>
    <t>B1</t>
  </si>
  <si>
    <t>2% INCREASE PER YEAR STEPS 21-30.</t>
  </si>
  <si>
    <t>Increase to Insurance Cap</t>
  </si>
  <si>
    <t>H/W</t>
  </si>
  <si>
    <t>$75/mo x 12 mo x 5 employees</t>
  </si>
  <si>
    <t>Increase to Salary Schedule</t>
  </si>
  <si>
    <t>Old/year</t>
  </si>
  <si>
    <t>New/year</t>
  </si>
  <si>
    <t>PERS Employer Rate Increase</t>
  </si>
  <si>
    <t>Benefit Cap Increase</t>
  </si>
  <si>
    <t>Employees would be receiving between a 5-10% COLA</t>
  </si>
  <si>
    <t>Cap Increase</t>
  </si>
  <si>
    <t>Total Increase</t>
  </si>
  <si>
    <t>CUSTODIAN</t>
  </si>
  <si>
    <r>
      <rPr>
        <b/>
        <sz val="11"/>
        <color theme="1"/>
        <rFont val="Times New Roman"/>
        <family val="1"/>
      </rPr>
      <t>SECRETARY, MAINTENANCE</t>
    </r>
    <r>
      <rPr>
        <sz val="11"/>
        <color theme="1"/>
        <rFont val="Times New Roman"/>
        <family val="1"/>
      </rPr>
      <t xml:space="preserve">, </t>
    </r>
    <r>
      <rPr>
        <b/>
        <sz val="11"/>
        <color theme="1"/>
        <rFont val="Times New Roman"/>
        <family val="1"/>
      </rPr>
      <t>KITCHEN MANAGER</t>
    </r>
    <r>
      <rPr>
        <sz val="11"/>
        <color theme="1"/>
        <rFont val="Times New Roman"/>
        <family val="1"/>
      </rPr>
      <t>, ATTENDANCE CLERK, REGISTRAR</t>
    </r>
  </si>
  <si>
    <t>Old Annual (with 3% Step)</t>
  </si>
  <si>
    <t>INSTRUCTIONAL AIDE, FOOD FACILITATOR</t>
  </si>
  <si>
    <t>6% Between Ranges</t>
  </si>
  <si>
    <t>Board Approved June 22, 2022</t>
  </si>
  <si>
    <t>01-3213-0-2100-1110-1000-032-00</t>
  </si>
  <si>
    <t>C/4</t>
  </si>
  <si>
    <t>B/3</t>
  </si>
  <si>
    <t>C/17</t>
  </si>
  <si>
    <t>A/1</t>
  </si>
  <si>
    <t>C/6</t>
  </si>
  <si>
    <t>B/5</t>
  </si>
  <si>
    <t>Alexander</t>
  </si>
  <si>
    <t>8-2:00</t>
  </si>
  <si>
    <t>lunch break</t>
  </si>
  <si>
    <t>Hours</t>
  </si>
  <si>
    <t>Total Time</t>
  </si>
  <si>
    <t>Sub for Kitchen Manager</t>
  </si>
  <si>
    <t>7-2:30</t>
  </si>
  <si>
    <t>7-2:15</t>
  </si>
  <si>
    <t xml:space="preserve">Normal Hours 5.9 per day </t>
  </si>
  <si>
    <t xml:space="preserve">Rhonda Lee </t>
  </si>
  <si>
    <t xml:space="preserve">A8 </t>
  </si>
  <si>
    <t>18.75 hours x .95 (5%) = $17.81</t>
  </si>
  <si>
    <t>Out of Class Pay</t>
  </si>
  <si>
    <t>Date</t>
  </si>
  <si>
    <t>$19.06 x .05=.95</t>
  </si>
  <si>
    <t>one-time stipend</t>
  </si>
  <si>
    <t>Increase to benefit cap</t>
  </si>
  <si>
    <t>New Annual (with 3% step)</t>
  </si>
  <si>
    <t>Stipend</t>
  </si>
  <si>
    <t>One-time Stipend</t>
  </si>
  <si>
    <t>Increase to Benefit Cap</t>
  </si>
  <si>
    <t>With H/W calculated as only</t>
  </si>
  <si>
    <t>Percentage Calculations</t>
  </si>
  <si>
    <t>Halmos</t>
  </si>
  <si>
    <t>Stokes</t>
  </si>
  <si>
    <t>Rhey</t>
  </si>
  <si>
    <t>Aguirre</t>
  </si>
  <si>
    <t>Godman</t>
  </si>
  <si>
    <t>C/5</t>
  </si>
  <si>
    <t>A/2</t>
  </si>
  <si>
    <t>PERS</t>
  </si>
  <si>
    <t>No</t>
  </si>
  <si>
    <t>PERS 25.37%</t>
  </si>
  <si>
    <t>Approved March 14,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</si>
</sst>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4" fontId="1" fillId="0" borderId="0" xfId="0" applyNumberFormat="1" applyFont="1"/>
    <xf numFmtId="44" fontId="1" fillId="0" borderId="2" xfId="0" applyNumberFormat="1" applyFont="1" applyBorder="1"/>
    <xf numFmtId="164" fontId="1" fillId="0" borderId="0" xfId="0" applyNumberFormat="1" applyFont="1"/>
    <xf numFmtId="10" fontId="1" fillId="0" borderId="0" xfId="0" applyNumberFormat="1" applyFont="1"/>
    <xf numFmtId="165" fontId="1" fillId="0" borderId="0" xfId="0" applyNumberFormat="1" applyFont="1"/>
    <xf numFmtId="10" fontId="0" fillId="0" borderId="0" xfId="0" applyNumberFormat="1" applyAlignment="1">
      <alignment horizontal="center"/>
    </xf>
    <xf numFmtId="42" fontId="0" fillId="0" borderId="0" xfId="0" applyNumberFormat="1"/>
    <xf numFmtId="4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Fill="1" applyBorder="1"/>
    <xf numFmtId="164" fontId="2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1" fillId="0" borderId="0" xfId="0" applyFont="1" applyBorder="1"/>
    <xf numFmtId="44" fontId="1" fillId="0" borderId="0" xfId="0" applyNumberFormat="1" applyFont="1" applyBorder="1"/>
    <xf numFmtId="164" fontId="1" fillId="0" borderId="0" xfId="0" applyNumberFormat="1" applyFont="1" applyBorder="1"/>
    <xf numFmtId="10" fontId="1" fillId="0" borderId="0" xfId="0" applyNumberFormat="1" applyFont="1" applyBorder="1"/>
    <xf numFmtId="165" fontId="1" fillId="0" borderId="0" xfId="0" applyNumberFormat="1" applyFont="1" applyBorder="1"/>
    <xf numFmtId="0" fontId="0" fillId="0" borderId="0" xfId="0" applyAlignment="1">
      <alignment horizontal="center"/>
    </xf>
    <xf numFmtId="42" fontId="0" fillId="0" borderId="0" xfId="0" applyNumberFormat="1" applyAlignment="1">
      <alignment horizontal="left"/>
    </xf>
    <xf numFmtId="15" fontId="1" fillId="0" borderId="2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1" fillId="0" borderId="0" xfId="0" applyNumberFormat="1" applyFont="1"/>
    <xf numFmtId="0" fontId="2" fillId="0" borderId="0" xfId="0" applyFont="1" applyAlignment="1">
      <alignment horizontal="center"/>
    </xf>
    <xf numFmtId="6" fontId="1" fillId="0" borderId="0" xfId="0" applyNumberFormat="1" applyFont="1"/>
    <xf numFmtId="10" fontId="4" fillId="0" borderId="0" xfId="0" applyNumberFormat="1" applyFont="1"/>
    <xf numFmtId="0" fontId="1" fillId="0" borderId="0" xfId="0" applyFont="1" applyFill="1" applyAlignment="1">
      <alignment wrapText="1"/>
    </xf>
    <xf numFmtId="0" fontId="3" fillId="0" borderId="0" xfId="0" applyFont="1" applyAlignment="1">
      <alignment horizontal="center"/>
    </xf>
    <xf numFmtId="17" fontId="0" fillId="0" borderId="0" xfId="0" applyNumberFormat="1"/>
    <xf numFmtId="16" fontId="0" fillId="0" borderId="0" xfId="0" applyNumberFormat="1"/>
    <xf numFmtId="0" fontId="0" fillId="0" borderId="0" xfId="0" applyAlignment="1">
      <alignment horizontal="right"/>
    </xf>
    <xf numFmtId="8" fontId="0" fillId="0" borderId="0" xfId="0" applyNumberFormat="1"/>
    <xf numFmtId="0" fontId="3" fillId="0" borderId="0" xfId="0" applyFont="1" applyAlignment="1">
      <alignment horizontal="center"/>
    </xf>
    <xf numFmtId="44" fontId="4" fillId="0" borderId="0" xfId="0" applyNumberFormat="1" applyFont="1"/>
    <xf numFmtId="42" fontId="1" fillId="0" borderId="0" xfId="0" applyNumberFormat="1" applyFont="1"/>
    <xf numFmtId="10" fontId="1" fillId="0" borderId="2" xfId="0" applyNumberFormat="1" applyFont="1" applyBorder="1"/>
    <xf numFmtId="165" fontId="1" fillId="0" borderId="2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4" fontId="1" fillId="0" borderId="1" xfId="0" applyNumberFormat="1" applyFont="1" applyBorder="1"/>
    <xf numFmtId="16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Fill="1" applyBorder="1" applyAlignment="1">
      <alignment wrapText="1"/>
    </xf>
    <xf numFmtId="0" fontId="0" fillId="0" borderId="0" xfId="0" applyBorder="1"/>
    <xf numFmtId="10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42" fontId="0" fillId="0" borderId="0" xfId="0" applyNumberFormat="1" applyBorder="1"/>
    <xf numFmtId="44" fontId="0" fillId="0" borderId="0" xfId="0" applyNumberFormat="1" applyBorder="1"/>
    <xf numFmtId="165" fontId="4" fillId="0" borderId="0" xfId="0" applyNumberFormat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42" fontId="0" fillId="0" borderId="7" xfId="0" applyNumberForma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44" fontId="1" fillId="0" borderId="1" xfId="0" applyNumberFormat="1" applyFont="1" applyBorder="1" applyAlignment="1">
      <alignment wrapText="1"/>
    </xf>
    <xf numFmtId="0" fontId="5" fillId="0" borderId="1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104774</xdr:rowOff>
    </xdr:from>
    <xdr:to>
      <xdr:col>7</xdr:col>
      <xdr:colOff>493622</xdr:colOff>
      <xdr:row>26</xdr:row>
      <xdr:rowOff>133743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71774"/>
          <a:ext cx="5646647" cy="23149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MANAGER/PAYROLL-PERSONNEL/2022-23/22-23%20CLASSIFIED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GUIRRE-FINAL"/>
      <sheetName val="AGUIRRE-late start"/>
      <sheetName val="ALEXANDER-FINAL"/>
      <sheetName val="ALEXANDER"/>
      <sheetName val="BOWMAN-CHAFFEE"/>
      <sheetName val="CHAFFEE"/>
      <sheetName val="DUNN-FINAL"/>
      <sheetName val="DUNN"/>
      <sheetName val="GODMAN"/>
      <sheetName val="HALMOS"/>
      <sheetName val="HARKEMA"/>
      <sheetName val="HODSON"/>
      <sheetName val="HULSEY"/>
      <sheetName val="JONES"/>
      <sheetName val="RHEY"/>
      <sheetName val="LEE"/>
      <sheetName val="SPOON"/>
      <sheetName val="STOKES-FINAL"/>
      <sheetName val="STOKES"/>
      <sheetName val="VEERKAMP"/>
      <sheetName val="VON INS"/>
      <sheetName val="VEERKAMP LEAVE"/>
      <sheetName val="Vacant"/>
      <sheetName val="Vacant Bus Driver"/>
      <sheetName val="Salary Schedule"/>
      <sheetName val="Sheet4"/>
      <sheetName val="Sheet1"/>
      <sheetName val="Sheet2"/>
    </sheetNames>
    <sheetDataSet>
      <sheetData sheetId="0">
        <row r="4">
          <cell r="C4" t="str">
            <v>C/4</v>
          </cell>
          <cell r="D4">
            <v>19.030714886599998</v>
          </cell>
          <cell r="G4">
            <v>35473.252548622397</v>
          </cell>
        </row>
        <row r="5">
          <cell r="C5" t="str">
            <v>B/3</v>
          </cell>
          <cell r="D5">
            <v>17.430586999999999</v>
          </cell>
          <cell r="G5">
            <v>36673.955047999996</v>
          </cell>
        </row>
        <row r="6">
          <cell r="C6" t="str">
            <v>C/4</v>
          </cell>
          <cell r="D6">
            <v>19.030714886599998</v>
          </cell>
          <cell r="G6">
            <v>35473.252548622397</v>
          </cell>
        </row>
        <row r="7">
          <cell r="C7" t="str">
            <v>C/6</v>
          </cell>
          <cell r="D7">
            <v>20.189685423193939</v>
          </cell>
          <cell r="G7">
            <v>30890.218697486725</v>
          </cell>
        </row>
        <row r="8">
          <cell r="C8" t="str">
            <v>C/17</v>
          </cell>
          <cell r="D8">
            <v>27.947246402056667</v>
          </cell>
          <cell r="G8">
            <v>58801.006429927227</v>
          </cell>
        </row>
        <row r="9">
          <cell r="C9" t="str">
            <v>A/6</v>
          </cell>
          <cell r="D9">
            <v>17.968748151650004</v>
          </cell>
          <cell r="G9">
            <v>20147.458865037566</v>
          </cell>
        </row>
        <row r="10">
          <cell r="C10" t="str">
            <v>A/8</v>
          </cell>
          <cell r="D10">
            <v>19.063044914085491</v>
          </cell>
          <cell r="G10">
            <v>21932.033173655356</v>
          </cell>
        </row>
        <row r="11">
          <cell r="C11" t="str">
            <v>A/9</v>
          </cell>
          <cell r="D11">
            <v>19.634936261508056</v>
          </cell>
          <cell r="G11">
            <v>22015.672283215907</v>
          </cell>
        </row>
        <row r="12">
          <cell r="C12" t="str">
            <v>B/5</v>
          </cell>
          <cell r="D12">
            <v>18.492109748299999</v>
          </cell>
          <cell r="G12">
            <v>38907.398910423195</v>
          </cell>
        </row>
      </sheetData>
      <sheetData sheetId="1">
        <row r="31">
          <cell r="B31">
            <v>18.670722433460078</v>
          </cell>
        </row>
      </sheetData>
      <sheetData sheetId="2"/>
      <sheetData sheetId="3"/>
      <sheetData sheetId="4">
        <row r="19">
          <cell r="B19">
            <v>195</v>
          </cell>
        </row>
      </sheetData>
      <sheetData sheetId="5">
        <row r="10">
          <cell r="B10">
            <v>19.030714886599998</v>
          </cell>
        </row>
        <row r="19">
          <cell r="B19">
            <v>233</v>
          </cell>
        </row>
      </sheetData>
      <sheetData sheetId="6">
        <row r="10">
          <cell r="B10">
            <v>17.430586999999999</v>
          </cell>
        </row>
        <row r="19">
          <cell r="B19">
            <v>263</v>
          </cell>
        </row>
      </sheetData>
      <sheetData sheetId="7">
        <row r="28">
          <cell r="B28">
            <v>23.461596958174905</v>
          </cell>
        </row>
      </sheetData>
      <sheetData sheetId="8">
        <row r="19">
          <cell r="B19">
            <v>233</v>
          </cell>
        </row>
      </sheetData>
      <sheetData sheetId="9">
        <row r="10">
          <cell r="B10">
            <v>19.600000000000001</v>
          </cell>
        </row>
      </sheetData>
      <sheetData sheetId="10">
        <row r="10">
          <cell r="B10">
            <v>15.97</v>
          </cell>
        </row>
      </sheetData>
      <sheetData sheetId="11">
        <row r="10">
          <cell r="B10">
            <v>20.189685423193939</v>
          </cell>
        </row>
        <row r="19">
          <cell r="B19">
            <v>204</v>
          </cell>
        </row>
      </sheetData>
      <sheetData sheetId="12">
        <row r="10">
          <cell r="B10">
            <v>27.947246402056667</v>
          </cell>
        </row>
        <row r="19">
          <cell r="B19">
            <v>263</v>
          </cell>
        </row>
      </sheetData>
      <sheetData sheetId="13">
        <row r="10">
          <cell r="B10">
            <v>17.968748151650004</v>
          </cell>
        </row>
        <row r="19">
          <cell r="B19">
            <v>195</v>
          </cell>
        </row>
      </sheetData>
      <sheetData sheetId="14">
        <row r="36">
          <cell r="B36">
            <v>91.199999999999989</v>
          </cell>
        </row>
      </sheetData>
      <sheetData sheetId="15"/>
      <sheetData sheetId="16">
        <row r="10">
          <cell r="B10">
            <v>19.063044914085491</v>
          </cell>
        </row>
        <row r="19">
          <cell r="B19">
            <v>195</v>
          </cell>
        </row>
      </sheetData>
      <sheetData sheetId="17">
        <row r="10">
          <cell r="B10">
            <v>19.634936261508056</v>
          </cell>
        </row>
        <row r="19">
          <cell r="B19">
            <v>195</v>
          </cell>
        </row>
      </sheetData>
      <sheetData sheetId="18"/>
      <sheetData sheetId="19"/>
      <sheetData sheetId="20">
        <row r="10">
          <cell r="B10">
            <v>18.492109748299999</v>
          </cell>
        </row>
        <row r="19">
          <cell r="B19">
            <v>263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workbookViewId="0">
      <selection activeCell="E16" sqref="E16"/>
    </sheetView>
  </sheetViews>
  <sheetFormatPr defaultRowHeight="15" x14ac:dyDescent="0.25"/>
  <cols>
    <col min="1" max="1" width="9.140625" style="1"/>
    <col min="2" max="2" width="10.85546875" style="1" customWidth="1"/>
    <col min="3" max="3" width="10.7109375" style="1" bestFit="1" customWidth="1"/>
    <col min="4" max="4" width="12" style="1" bestFit="1" customWidth="1"/>
    <col min="5" max="5" width="11.42578125" style="1" bestFit="1" customWidth="1"/>
    <col min="6" max="6" width="10.140625" style="1" bestFit="1" customWidth="1"/>
    <col min="7" max="7" width="12" style="1" bestFit="1" customWidth="1"/>
    <col min="8" max="9" width="14" style="1" bestFit="1" customWidth="1"/>
    <col min="10" max="10" width="12.7109375" style="1" bestFit="1" customWidth="1"/>
    <col min="11" max="11" width="9.140625" style="1"/>
    <col min="12" max="12" width="9.42578125" style="1" customWidth="1"/>
    <col min="13" max="13" width="10.42578125" style="1" bestFit="1" customWidth="1"/>
    <col min="14" max="16384" width="9.140625" style="1"/>
  </cols>
  <sheetData>
    <row r="1" spans="1:21" ht="18.75" x14ac:dyDescent="0.3">
      <c r="A1" s="71" t="s">
        <v>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18.75" x14ac:dyDescent="0.3">
      <c r="A2" s="71" t="s">
        <v>45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18.75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</row>
    <row r="4" spans="1:21" ht="15.75" x14ac:dyDescent="0.25">
      <c r="A4" s="1" t="s">
        <v>0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4">
        <v>20</v>
      </c>
    </row>
    <row r="5" spans="1:21" ht="15.75" x14ac:dyDescent="0.25">
      <c r="A5" s="1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.75" x14ac:dyDescent="0.25">
      <c r="A6" s="2" t="s">
        <v>2</v>
      </c>
      <c r="B6" s="3">
        <f>15.5*0.048+15.5</f>
        <v>16.244</v>
      </c>
      <c r="C6" s="3">
        <f>B6*0.03+B6</f>
        <v>16.73132</v>
      </c>
      <c r="D6" s="3">
        <f t="shared" ref="D6:S9" si="0">C6*0.03+C6</f>
        <v>17.2332596</v>
      </c>
      <c r="E6" s="3">
        <f t="shared" si="0"/>
        <v>17.750257388000001</v>
      </c>
      <c r="F6" s="3">
        <f t="shared" si="0"/>
        <v>18.282765109640003</v>
      </c>
      <c r="G6" s="3">
        <f t="shared" si="0"/>
        <v>18.831248062929202</v>
      </c>
      <c r="H6" s="3">
        <f t="shared" si="0"/>
        <v>19.396185504817076</v>
      </c>
      <c r="I6" s="3">
        <f t="shared" si="0"/>
        <v>19.978071069961587</v>
      </c>
      <c r="J6" s="3">
        <f t="shared" si="0"/>
        <v>20.577413202060434</v>
      </c>
      <c r="K6" s="3">
        <f t="shared" si="0"/>
        <v>21.194735598122247</v>
      </c>
      <c r="L6" s="3">
        <f t="shared" si="0"/>
        <v>21.830577666065913</v>
      </c>
      <c r="M6" s="3">
        <f t="shared" si="0"/>
        <v>22.48549499604789</v>
      </c>
      <c r="N6" s="3">
        <f t="shared" si="0"/>
        <v>23.160059845929329</v>
      </c>
      <c r="O6" s="3">
        <f t="shared" si="0"/>
        <v>23.85486164130721</v>
      </c>
      <c r="P6" s="3">
        <f t="shared" si="0"/>
        <v>24.570507490546426</v>
      </c>
      <c r="Q6" s="3">
        <f t="shared" si="0"/>
        <v>25.30762271526282</v>
      </c>
      <c r="R6" s="3">
        <f t="shared" si="0"/>
        <v>26.066851396720704</v>
      </c>
      <c r="S6" s="3">
        <f t="shared" si="0"/>
        <v>26.848856938622326</v>
      </c>
      <c r="T6" s="3">
        <f t="shared" ref="T6:U9" si="1">S6*0.03+S6</f>
        <v>27.654322646780997</v>
      </c>
      <c r="U6" s="3">
        <f t="shared" si="1"/>
        <v>28.483952326184426</v>
      </c>
    </row>
    <row r="7" spans="1:21" ht="15.75" x14ac:dyDescent="0.25">
      <c r="A7" s="2" t="s">
        <v>3</v>
      </c>
      <c r="B7" s="3">
        <f>B6*0.06+B6</f>
        <v>17.218640000000001</v>
      </c>
      <c r="C7" s="3">
        <f>B7*0.03+B7</f>
        <v>17.7351992</v>
      </c>
      <c r="D7" s="3">
        <f t="shared" si="0"/>
        <v>18.267255175999999</v>
      </c>
      <c r="E7" s="3">
        <f t="shared" si="0"/>
        <v>18.815272831279998</v>
      </c>
      <c r="F7" s="3">
        <f t="shared" si="0"/>
        <v>19.379731016218397</v>
      </c>
      <c r="G7" s="3">
        <f t="shared" si="0"/>
        <v>19.96112294670495</v>
      </c>
      <c r="H7" s="3">
        <f t="shared" si="0"/>
        <v>20.559956635106097</v>
      </c>
      <c r="I7" s="3">
        <f t="shared" si="0"/>
        <v>21.176755334159282</v>
      </c>
      <c r="J7" s="3">
        <f t="shared" si="0"/>
        <v>21.812057994184059</v>
      </c>
      <c r="K7" s="3">
        <f t="shared" si="0"/>
        <v>22.46641973400958</v>
      </c>
      <c r="L7" s="3">
        <f t="shared" si="0"/>
        <v>23.140412326029868</v>
      </c>
      <c r="M7" s="3">
        <f t="shared" si="0"/>
        <v>23.834624695810763</v>
      </c>
      <c r="N7" s="3">
        <f t="shared" si="0"/>
        <v>24.549663436685087</v>
      </c>
      <c r="O7" s="3">
        <f t="shared" si="0"/>
        <v>25.286153339785638</v>
      </c>
      <c r="P7" s="3">
        <f t="shared" si="0"/>
        <v>26.044737939979207</v>
      </c>
      <c r="Q7" s="3">
        <f t="shared" si="0"/>
        <v>26.826080078178585</v>
      </c>
      <c r="R7" s="3">
        <f t="shared" si="0"/>
        <v>27.630862480523941</v>
      </c>
      <c r="S7" s="3">
        <f t="shared" si="0"/>
        <v>28.459788354939658</v>
      </c>
      <c r="T7" s="3">
        <f t="shared" si="1"/>
        <v>29.313582005587847</v>
      </c>
      <c r="U7" s="3">
        <f t="shared" si="1"/>
        <v>30.192989465755481</v>
      </c>
    </row>
    <row r="8" spans="1:21" ht="15.75" x14ac:dyDescent="0.25">
      <c r="A8" s="2" t="s">
        <v>4</v>
      </c>
      <c r="B8" s="3">
        <f>B7*0.06+B7</f>
        <v>18.2517584</v>
      </c>
      <c r="C8" s="3">
        <f>B8*0.03+B8</f>
        <v>18.799311152000001</v>
      </c>
      <c r="D8" s="3">
        <f t="shared" si="0"/>
        <v>19.36329048656</v>
      </c>
      <c r="E8" s="3">
        <f t="shared" si="0"/>
        <v>19.944189201156799</v>
      </c>
      <c r="F8" s="3">
        <f t="shared" si="0"/>
        <v>20.542514877191504</v>
      </c>
      <c r="G8" s="3">
        <f t="shared" si="0"/>
        <v>21.158790323507247</v>
      </c>
      <c r="H8" s="3">
        <f t="shared" si="0"/>
        <v>21.793554033212466</v>
      </c>
      <c r="I8" s="3">
        <f t="shared" si="0"/>
        <v>22.44736065420884</v>
      </c>
      <c r="J8" s="3">
        <f t="shared" si="0"/>
        <v>23.120781473835105</v>
      </c>
      <c r="K8" s="3">
        <f t="shared" si="0"/>
        <v>23.814404918050158</v>
      </c>
      <c r="L8" s="3">
        <f t="shared" si="0"/>
        <v>24.528837065591663</v>
      </c>
      <c r="M8" s="3">
        <f t="shared" si="0"/>
        <v>25.264702177559414</v>
      </c>
      <c r="N8" s="3">
        <f t="shared" si="0"/>
        <v>26.022643242886197</v>
      </c>
      <c r="O8" s="3">
        <f t="shared" si="0"/>
        <v>26.803322540172783</v>
      </c>
      <c r="P8" s="3">
        <f t="shared" si="0"/>
        <v>27.607422216377966</v>
      </c>
      <c r="Q8" s="3">
        <f t="shared" si="0"/>
        <v>28.435644882869305</v>
      </c>
      <c r="R8" s="3">
        <f t="shared" si="0"/>
        <v>29.288714229355385</v>
      </c>
      <c r="S8" s="3">
        <f t="shared" si="0"/>
        <v>30.167375656236047</v>
      </c>
      <c r="T8" s="3">
        <f t="shared" si="1"/>
        <v>31.07239692592313</v>
      </c>
      <c r="U8" s="3">
        <f t="shared" si="1"/>
        <v>32.004568833700823</v>
      </c>
    </row>
    <row r="9" spans="1:21" ht="15.75" x14ac:dyDescent="0.25">
      <c r="A9" s="2" t="s">
        <v>5</v>
      </c>
      <c r="B9" s="3">
        <f>B8*0.06+B8</f>
        <v>19.346863903999999</v>
      </c>
      <c r="C9" s="3">
        <f>B9*0.03+B9</f>
        <v>19.927269821119999</v>
      </c>
      <c r="D9" s="3">
        <f t="shared" si="0"/>
        <v>20.525087915753598</v>
      </c>
      <c r="E9" s="3">
        <f t="shared" si="0"/>
        <v>21.140840553226205</v>
      </c>
      <c r="F9" s="3">
        <f t="shared" si="0"/>
        <v>21.775065769822991</v>
      </c>
      <c r="G9" s="3">
        <f t="shared" si="0"/>
        <v>22.428317742917681</v>
      </c>
      <c r="H9" s="3">
        <f t="shared" si="0"/>
        <v>23.10116727520521</v>
      </c>
      <c r="I9" s="3">
        <f t="shared" si="0"/>
        <v>23.794202293461368</v>
      </c>
      <c r="J9" s="3">
        <f t="shared" si="0"/>
        <v>24.508028362265208</v>
      </c>
      <c r="K9" s="3">
        <f t="shared" si="0"/>
        <v>25.243269213133164</v>
      </c>
      <c r="L9" s="3">
        <f t="shared" si="0"/>
        <v>26.000567289527158</v>
      </c>
      <c r="M9" s="3">
        <f t="shared" si="0"/>
        <v>26.780584308212973</v>
      </c>
      <c r="N9" s="3">
        <f t="shared" si="0"/>
        <v>27.584001837459361</v>
      </c>
      <c r="O9" s="3">
        <f t="shared" si="0"/>
        <v>28.411521892583142</v>
      </c>
      <c r="P9" s="3">
        <f t="shared" si="0"/>
        <v>29.263867549360636</v>
      </c>
      <c r="Q9" s="3">
        <f t="shared" si="0"/>
        <v>30.141783575841455</v>
      </c>
      <c r="R9" s="3">
        <f t="shared" si="0"/>
        <v>31.046037083116698</v>
      </c>
      <c r="S9" s="3">
        <f t="shared" si="0"/>
        <v>31.977418195610198</v>
      </c>
      <c r="T9" s="3">
        <f t="shared" si="1"/>
        <v>32.936740741478502</v>
      </c>
      <c r="U9" s="3">
        <f t="shared" si="1"/>
        <v>33.92484296372286</v>
      </c>
    </row>
    <row r="11" spans="1:21" x14ac:dyDescent="0.25">
      <c r="A11" s="1" t="s">
        <v>1</v>
      </c>
    </row>
    <row r="12" spans="1:21" x14ac:dyDescent="0.25">
      <c r="A12" s="1" t="s">
        <v>2</v>
      </c>
      <c r="B12" s="6" t="s">
        <v>63</v>
      </c>
    </row>
    <row r="13" spans="1:21" x14ac:dyDescent="0.25">
      <c r="A13" s="1" t="s">
        <v>3</v>
      </c>
      <c r="B13" s="6" t="s">
        <v>60</v>
      </c>
    </row>
    <row r="14" spans="1:21" x14ac:dyDescent="0.25">
      <c r="A14" s="1" t="s">
        <v>4</v>
      </c>
      <c r="B14" s="1" t="s">
        <v>61</v>
      </c>
    </row>
    <row r="15" spans="1:21" x14ac:dyDescent="0.25">
      <c r="A15" s="1" t="s">
        <v>5</v>
      </c>
      <c r="B15" s="1" t="s">
        <v>11</v>
      </c>
    </row>
    <row r="17" spans="2:13" x14ac:dyDescent="0.25">
      <c r="B17" s="1" t="s">
        <v>41</v>
      </c>
    </row>
    <row r="18" spans="2:13" x14ac:dyDescent="0.25">
      <c r="B18" s="1" t="s">
        <v>48</v>
      </c>
    </row>
    <row r="19" spans="2:13" x14ac:dyDescent="0.25">
      <c r="B19" s="1" t="s">
        <v>64</v>
      </c>
      <c r="C19" s="6"/>
      <c r="D19" s="6"/>
      <c r="E19" s="6"/>
      <c r="F19" s="6"/>
      <c r="G19" s="6"/>
      <c r="H19" s="6"/>
      <c r="I19" s="6"/>
    </row>
    <row r="20" spans="2:13" x14ac:dyDescent="0.25">
      <c r="B20" s="1" t="s">
        <v>106</v>
      </c>
    </row>
    <row r="21" spans="2:13" ht="60" x14ac:dyDescent="0.25">
      <c r="B21" s="44" t="s">
        <v>15</v>
      </c>
      <c r="C21" s="44" t="s">
        <v>14</v>
      </c>
      <c r="D21" s="44" t="s">
        <v>16</v>
      </c>
      <c r="E21" s="44" t="s">
        <v>17</v>
      </c>
      <c r="F21" s="44" t="s">
        <v>19</v>
      </c>
      <c r="G21" s="44"/>
      <c r="H21" s="45" t="s">
        <v>62</v>
      </c>
      <c r="I21" s="45" t="s">
        <v>90</v>
      </c>
      <c r="J21" s="44" t="s">
        <v>19</v>
      </c>
      <c r="K21" s="44" t="s">
        <v>30</v>
      </c>
      <c r="L21" s="46" t="s">
        <v>49</v>
      </c>
      <c r="M21" s="46" t="s">
        <v>105</v>
      </c>
    </row>
    <row r="22" spans="2:13" x14ac:dyDescent="0.25">
      <c r="B22" s="70" t="s">
        <v>99</v>
      </c>
      <c r="C22" s="44" t="s">
        <v>71</v>
      </c>
      <c r="D22" s="47">
        <v>20.16</v>
      </c>
      <c r="E22" s="48">
        <f>G8</f>
        <v>21.158790323507247</v>
      </c>
      <c r="F22" s="47">
        <f>E22-D22</f>
        <v>0.99879032350724728</v>
      </c>
      <c r="G22" s="49">
        <f t="shared" ref="G22" si="2">F22/D22</f>
        <v>4.9543170808891236E-2</v>
      </c>
      <c r="H22" s="47">
        <f>D22*8*'[1]BOWMAN-CHAFFEE'!$B$19</f>
        <v>37578.239999999998</v>
      </c>
      <c r="I22" s="47">
        <f>E22*8*233</f>
        <v>39439.985163017511</v>
      </c>
      <c r="J22" s="47">
        <f>I22-H22</f>
        <v>1861.7451630175128</v>
      </c>
      <c r="K22" s="49">
        <f t="shared" ref="K22" si="3">J22/H22</f>
        <v>4.954317080889134E-2</v>
      </c>
      <c r="L22" s="44"/>
      <c r="M22" s="69">
        <f t="shared" ref="M22:M30" si="4">J22*0.2537</f>
        <v>472.32474785754295</v>
      </c>
    </row>
    <row r="23" spans="2:13" x14ac:dyDescent="0.25">
      <c r="B23" s="44" t="s">
        <v>18</v>
      </c>
      <c r="C23" s="44" t="s">
        <v>67</v>
      </c>
      <c r="D23" s="47">
        <f>'[1]BOWMAN-CHAFFEE'!$B$10</f>
        <v>19.030714886599998</v>
      </c>
      <c r="E23" s="48">
        <f>E8</f>
        <v>19.944189201156799</v>
      </c>
      <c r="F23" s="47">
        <f>E23-D23</f>
        <v>0.91347431455680095</v>
      </c>
      <c r="G23" s="49">
        <f t="shared" ref="G23:G34" si="5">F23/D23</f>
        <v>4.8000000000000057E-2</v>
      </c>
      <c r="H23" s="47">
        <f>D23*8*'[1]BOWMAN-CHAFFEE'!$B$19</f>
        <v>35473.252548622397</v>
      </c>
      <c r="I23" s="47">
        <f>E23*8*233</f>
        <v>37175.968670956274</v>
      </c>
      <c r="J23" s="47">
        <f>I23-H23</f>
        <v>1702.7161223338771</v>
      </c>
      <c r="K23" s="49">
        <f t="shared" ref="K23:K34" si="6">J23/H23</f>
        <v>4.8000000000000057E-2</v>
      </c>
      <c r="L23" s="44"/>
      <c r="M23" s="69">
        <f t="shared" si="4"/>
        <v>431.97908023610461</v>
      </c>
    </row>
    <row r="24" spans="2:13" x14ac:dyDescent="0.25">
      <c r="B24" s="44" t="s">
        <v>28</v>
      </c>
      <c r="C24" s="44" t="s">
        <v>68</v>
      </c>
      <c r="D24" s="47">
        <f>[1]CHAFFEE!$B$10</f>
        <v>17.430586999999999</v>
      </c>
      <c r="E24" s="48">
        <f>D7</f>
        <v>18.267255175999999</v>
      </c>
      <c r="F24" s="47">
        <f>E24-D24</f>
        <v>0.83666817599999987</v>
      </c>
      <c r="G24" s="49">
        <f t="shared" si="5"/>
        <v>4.7999999999999994E-2</v>
      </c>
      <c r="H24" s="47">
        <f>D24*8*[1]CHAFFEE!$B$19</f>
        <v>36673.955047999996</v>
      </c>
      <c r="I24" s="47">
        <f>8*E24*263</f>
        <v>38434.304890303996</v>
      </c>
      <c r="J24" s="47">
        <f t="shared" ref="J24:J34" si="7">I24-H24</f>
        <v>1760.349842304</v>
      </c>
      <c r="K24" s="49">
        <f t="shared" si="6"/>
        <v>4.8000000000000008E-2</v>
      </c>
      <c r="L24" s="44"/>
      <c r="M24" s="69">
        <f t="shared" si="4"/>
        <v>446.6007549925248</v>
      </c>
    </row>
    <row r="25" spans="2:13" x14ac:dyDescent="0.25">
      <c r="B25" s="44" t="s">
        <v>100</v>
      </c>
      <c r="C25" s="44" t="s">
        <v>101</v>
      </c>
      <c r="D25" s="47">
        <f>[1]GODMAN!$B$10</f>
        <v>19.600000000000001</v>
      </c>
      <c r="E25" s="48">
        <f>F8</f>
        <v>20.542514877191504</v>
      </c>
      <c r="F25" s="47">
        <f>E25-D25</f>
        <v>0.94251487719150262</v>
      </c>
      <c r="G25" s="49">
        <f t="shared" si="5"/>
        <v>4.8087493734260335E-2</v>
      </c>
      <c r="H25" s="47">
        <f>D25*8*[1]DUNN!$B$19</f>
        <v>36534.400000000001</v>
      </c>
      <c r="I25" s="47">
        <f>E25*8*233</f>
        <v>38291.247731084964</v>
      </c>
      <c r="J25" s="47">
        <f t="shared" si="7"/>
        <v>1756.847731084963</v>
      </c>
      <c r="K25" s="49">
        <f t="shared" si="6"/>
        <v>4.8087493734260398E-2</v>
      </c>
      <c r="L25" s="44"/>
      <c r="M25" s="69">
        <f t="shared" si="4"/>
        <v>445.71226937625511</v>
      </c>
    </row>
    <row r="26" spans="2:13" x14ac:dyDescent="0.25">
      <c r="B26" s="44" t="s">
        <v>96</v>
      </c>
      <c r="C26" s="44" t="s">
        <v>102</v>
      </c>
      <c r="D26" s="47">
        <f>[1]HALMOS!$B$10</f>
        <v>15.97</v>
      </c>
      <c r="E26" s="48">
        <f>C6</f>
        <v>16.73132</v>
      </c>
      <c r="F26" s="47">
        <f>E26-D26</f>
        <v>0.76131999999999955</v>
      </c>
      <c r="G26" s="49">
        <f t="shared" ref="G26" si="8">F26/D26</f>
        <v>4.7671884783969914E-2</v>
      </c>
      <c r="H26" s="47">
        <f>D26*8*[1]DUNN!$B$19</f>
        <v>29768.080000000002</v>
      </c>
      <c r="I26" s="47">
        <f>E26*8*233</f>
        <v>31187.180479999999</v>
      </c>
      <c r="J26" s="47">
        <f t="shared" ref="J26" si="9">I26-H26</f>
        <v>1419.1004799999973</v>
      </c>
      <c r="K26" s="49">
        <f t="shared" ref="K26" si="10">J26/H26</f>
        <v>4.7671884783969852E-2</v>
      </c>
      <c r="L26" s="44"/>
      <c r="M26" s="69">
        <f t="shared" si="4"/>
        <v>360.02579177599932</v>
      </c>
    </row>
    <row r="27" spans="2:13" x14ac:dyDescent="0.25">
      <c r="B27" s="44" t="s">
        <v>21</v>
      </c>
      <c r="C27" s="44" t="s">
        <v>69</v>
      </c>
      <c r="D27" s="47">
        <f>[1]HODSON!$B$10</f>
        <v>27.947246402056667</v>
      </c>
      <c r="E27" s="48">
        <f>R8</f>
        <v>29.288714229355385</v>
      </c>
      <c r="F27" s="47">
        <f t="shared" ref="F27:F34" si="11">E27-D27</f>
        <v>1.3414678272987182</v>
      </c>
      <c r="G27" s="49">
        <f t="shared" si="5"/>
        <v>4.7999999999999932E-2</v>
      </c>
      <c r="H27" s="47">
        <f>D27*8*[1]HODSON!$B$19</f>
        <v>58801.006429927227</v>
      </c>
      <c r="I27" s="47">
        <f>E27*8*263</f>
        <v>61623.454738563727</v>
      </c>
      <c r="J27" s="47">
        <f t="shared" si="7"/>
        <v>2822.4483086364999</v>
      </c>
      <c r="K27" s="49">
        <f t="shared" si="6"/>
        <v>4.7999999999999883E-2</v>
      </c>
      <c r="L27" s="44"/>
      <c r="M27" s="69">
        <f t="shared" si="4"/>
        <v>716.05513590108001</v>
      </c>
    </row>
    <row r="28" spans="2:13" x14ac:dyDescent="0.25">
      <c r="B28" s="44" t="s">
        <v>22</v>
      </c>
      <c r="C28" s="44" t="str">
        <f>[1]Summary!$C$9</f>
        <v>A/6</v>
      </c>
      <c r="D28" s="47">
        <f>[1]HULSEY!$B$10</f>
        <v>17.968748151650004</v>
      </c>
      <c r="E28" s="48">
        <f>G6</f>
        <v>18.831248062929202</v>
      </c>
      <c r="F28" s="47">
        <f t="shared" si="11"/>
        <v>0.86249991127919756</v>
      </c>
      <c r="G28" s="49">
        <f t="shared" si="5"/>
        <v>4.7999999999999855E-2</v>
      </c>
      <c r="H28" s="47">
        <f>D28*5.75*[1]HULSEY!$B$19</f>
        <v>20147.458865037566</v>
      </c>
      <c r="I28" s="47">
        <f>E28*5.75*195</f>
        <v>21114.536890559368</v>
      </c>
      <c r="J28" s="47">
        <f t="shared" si="7"/>
        <v>967.07802552180146</v>
      </c>
      <c r="K28" s="49">
        <f t="shared" si="6"/>
        <v>4.7999999999999918E-2</v>
      </c>
      <c r="L28" s="44"/>
      <c r="M28" s="69">
        <f t="shared" si="4"/>
        <v>245.34769507488102</v>
      </c>
    </row>
    <row r="29" spans="2:13" x14ac:dyDescent="0.25">
      <c r="B29" s="44" t="s">
        <v>23</v>
      </c>
      <c r="C29" s="44" t="str">
        <f>[1]Summary!$C$10</f>
        <v>A/8</v>
      </c>
      <c r="D29" s="47">
        <f>[1]LEE!$B$10</f>
        <v>19.063044914085491</v>
      </c>
      <c r="E29" s="48">
        <f>I6</f>
        <v>19.978071069961587</v>
      </c>
      <c r="F29" s="47">
        <f t="shared" si="11"/>
        <v>0.91502615587609526</v>
      </c>
      <c r="G29" s="49">
        <f t="shared" si="5"/>
        <v>4.7999999999999564E-2</v>
      </c>
      <c r="H29" s="47">
        <f>D29*5.9*[1]LEE!$B$19</f>
        <v>21932.03317365536</v>
      </c>
      <c r="I29" s="47">
        <f>E29*5.9*195</f>
        <v>22984.770765990808</v>
      </c>
      <c r="J29" s="47">
        <f t="shared" si="7"/>
        <v>1052.7375923354484</v>
      </c>
      <c r="K29" s="49">
        <f t="shared" si="6"/>
        <v>4.7999999999999599E-2</v>
      </c>
      <c r="L29" s="44"/>
      <c r="M29" s="69">
        <f t="shared" si="4"/>
        <v>267.07952717550324</v>
      </c>
    </row>
    <row r="30" spans="2:13" x14ac:dyDescent="0.25">
      <c r="B30" s="46" t="s">
        <v>38</v>
      </c>
      <c r="C30" s="44" t="s">
        <v>71</v>
      </c>
      <c r="D30" s="47">
        <f>[1]HARKEMA!$B$10</f>
        <v>20.189685423193939</v>
      </c>
      <c r="E30" s="48">
        <f>G8</f>
        <v>21.158790323507247</v>
      </c>
      <c r="F30" s="47">
        <f t="shared" si="11"/>
        <v>0.96910490031330809</v>
      </c>
      <c r="G30" s="49">
        <f t="shared" si="5"/>
        <v>4.7999999999999952E-2</v>
      </c>
      <c r="H30" s="47">
        <f>D30*7.5*[1]HARKEMA!$B$19</f>
        <v>30890.218697486725</v>
      </c>
      <c r="I30" s="47">
        <f>E30*7.5*204</f>
        <v>32372.949194966091</v>
      </c>
      <c r="J30" s="47">
        <f t="shared" si="7"/>
        <v>1482.730497479366</v>
      </c>
      <c r="K30" s="49">
        <f t="shared" si="6"/>
        <v>4.8000000000000105E-2</v>
      </c>
      <c r="L30" s="44"/>
      <c r="M30" s="69">
        <f t="shared" si="4"/>
        <v>376.16872721051516</v>
      </c>
    </row>
    <row r="31" spans="2:13" x14ac:dyDescent="0.25">
      <c r="B31" s="46" t="s">
        <v>98</v>
      </c>
      <c r="C31" s="44" t="s">
        <v>70</v>
      </c>
      <c r="D31" s="47">
        <v>15.5</v>
      </c>
      <c r="E31" s="48">
        <f>B6</f>
        <v>16.244</v>
      </c>
      <c r="F31" s="47">
        <f t="shared" ref="F31" si="12">E31-D31</f>
        <v>0.74399999999999977</v>
      </c>
      <c r="G31" s="49">
        <f t="shared" ref="G31" si="13">F31/D31</f>
        <v>4.7999999999999987E-2</v>
      </c>
      <c r="H31" s="47">
        <f>D31*3*100</f>
        <v>4650</v>
      </c>
      <c r="I31" s="47">
        <f>E31*3*100</f>
        <v>4873.2</v>
      </c>
      <c r="J31" s="47">
        <f t="shared" ref="J31" si="14">I31-H31</f>
        <v>223.19999999999982</v>
      </c>
      <c r="K31" s="49">
        <f t="shared" ref="K31" si="15">J31/H31</f>
        <v>4.7999999999999959E-2</v>
      </c>
      <c r="L31" s="44"/>
      <c r="M31" s="44" t="s">
        <v>104</v>
      </c>
    </row>
    <row r="32" spans="2:13" x14ac:dyDescent="0.25">
      <c r="B32" s="44" t="s">
        <v>24</v>
      </c>
      <c r="C32" s="44" t="str">
        <f>[1]Summary!$C$11</f>
        <v>A/9</v>
      </c>
      <c r="D32" s="47">
        <f>[1]SPOON!$B$10</f>
        <v>19.634936261508056</v>
      </c>
      <c r="E32" s="48">
        <f>J6</f>
        <v>20.577413202060434</v>
      </c>
      <c r="F32" s="47">
        <f t="shared" si="11"/>
        <v>0.9424769405523783</v>
      </c>
      <c r="G32" s="49">
        <f t="shared" si="5"/>
        <v>4.7999999999999571E-2</v>
      </c>
      <c r="H32" s="47">
        <f>D32*5.75*[1]SPOON!$B$19</f>
        <v>22015.672283215907</v>
      </c>
      <c r="I32" s="47">
        <f>E32*5.75*195</f>
        <v>23072.424552810262</v>
      </c>
      <c r="J32" s="47">
        <f t="shared" si="7"/>
        <v>1056.7522695943553</v>
      </c>
      <c r="K32" s="49">
        <f t="shared" si="6"/>
        <v>4.7999999999999626E-2</v>
      </c>
      <c r="L32" s="44"/>
      <c r="M32" s="69">
        <f>J32*0.2537</f>
        <v>268.09805079608793</v>
      </c>
    </row>
    <row r="33" spans="2:14" x14ac:dyDescent="0.25">
      <c r="B33" s="70" t="s">
        <v>97</v>
      </c>
      <c r="C33" s="44" t="s">
        <v>70</v>
      </c>
      <c r="D33" s="47">
        <v>15.5</v>
      </c>
      <c r="E33" s="48">
        <f>B6</f>
        <v>16.244</v>
      </c>
      <c r="F33" s="47">
        <f t="shared" ref="F33" si="16">E33-D33</f>
        <v>0.74399999999999977</v>
      </c>
      <c r="G33" s="49">
        <f t="shared" ref="G33" si="17">F33/D33</f>
        <v>4.7999999999999987E-2</v>
      </c>
      <c r="H33" s="47">
        <f>D33*3*100</f>
        <v>4650</v>
      </c>
      <c r="I33" s="47">
        <f>E33*3*100</f>
        <v>4873.2</v>
      </c>
      <c r="J33" s="47">
        <f t="shared" si="7"/>
        <v>223.19999999999982</v>
      </c>
      <c r="K33" s="49">
        <f t="shared" si="6"/>
        <v>4.7999999999999959E-2</v>
      </c>
      <c r="L33" s="44"/>
      <c r="M33" s="44" t="s">
        <v>104</v>
      </c>
    </row>
    <row r="34" spans="2:14" x14ac:dyDescent="0.25">
      <c r="B34" s="44" t="s">
        <v>25</v>
      </c>
      <c r="C34" s="44" t="s">
        <v>72</v>
      </c>
      <c r="D34" s="47">
        <f>[1]VEERKAMP!$B$10</f>
        <v>18.492109748299999</v>
      </c>
      <c r="E34" s="48">
        <f>F7</f>
        <v>19.379731016218397</v>
      </c>
      <c r="F34" s="47">
        <f t="shared" si="11"/>
        <v>0.8876212679183979</v>
      </c>
      <c r="G34" s="49">
        <f t="shared" si="5"/>
        <v>4.799999999999989E-2</v>
      </c>
      <c r="H34" s="47">
        <f>D34*8*[1]VEERKAMP!$B$19</f>
        <v>38907.398910423195</v>
      </c>
      <c r="I34" s="47">
        <f>E34*8*263</f>
        <v>40774.954058123505</v>
      </c>
      <c r="J34" s="47">
        <f t="shared" si="7"/>
        <v>1867.55514770031</v>
      </c>
      <c r="K34" s="49">
        <f t="shared" si="6"/>
        <v>4.7999999999999918E-2</v>
      </c>
      <c r="L34" s="44"/>
      <c r="M34" s="69">
        <f>J34*0.2537</f>
        <v>473.79874097156863</v>
      </c>
    </row>
    <row r="35" spans="2:14" x14ac:dyDescent="0.25">
      <c r="D35" s="7"/>
      <c r="E35" s="7"/>
      <c r="F35" s="7"/>
      <c r="G35" s="32"/>
      <c r="H35" s="8"/>
      <c r="I35" s="8"/>
      <c r="J35" s="8"/>
      <c r="K35" s="29">
        <f>AVERAGE(K23:K34)</f>
        <v>4.7979948209852435E-2</v>
      </c>
      <c r="L35" s="1">
        <f>SUM(L23:L34)</f>
        <v>0</v>
      </c>
      <c r="M35" s="7">
        <f>SUM(M22:M34)</f>
        <v>4503.1905213680629</v>
      </c>
    </row>
    <row r="36" spans="2:14" x14ac:dyDescent="0.25">
      <c r="D36" s="10"/>
      <c r="E36" s="7"/>
      <c r="F36" s="7"/>
      <c r="G36" s="1" t="s">
        <v>39</v>
      </c>
      <c r="H36" s="7">
        <f>SUM(H23:H35)</f>
        <v>340443.47595636838</v>
      </c>
      <c r="I36" s="7">
        <f>SUM(I23:I35)</f>
        <v>356778.19197335903</v>
      </c>
      <c r="J36" s="7">
        <f>SUM(J23:J35)</f>
        <v>16334.71601699062</v>
      </c>
    </row>
    <row r="37" spans="2:14" x14ac:dyDescent="0.25">
      <c r="D37" s="7"/>
      <c r="E37" s="7"/>
      <c r="F37" s="7"/>
      <c r="G37" s="1" t="s">
        <v>42</v>
      </c>
      <c r="H37" s="7">
        <f>H36*0.9903</f>
        <v>337141.17423959158</v>
      </c>
      <c r="I37" s="7">
        <f>I36*0.9903</f>
        <v>353317.44351121743</v>
      </c>
      <c r="J37" s="7">
        <f>I37-H37</f>
        <v>16176.269271625846</v>
      </c>
    </row>
    <row r="38" spans="2:14" x14ac:dyDescent="0.25">
      <c r="D38" s="7"/>
      <c r="E38" s="7"/>
      <c r="F38" s="7"/>
      <c r="H38" s="40">
        <f>SUM(H36:H37)</f>
        <v>677584.65019595996</v>
      </c>
      <c r="I38" s="40">
        <f>SUM(I36:I37)</f>
        <v>710095.63548457646</v>
      </c>
      <c r="J38" s="7">
        <f>SUM(J36:J37)</f>
        <v>32510.985288616466</v>
      </c>
      <c r="M38" s="11"/>
    </row>
    <row r="39" spans="2:14" x14ac:dyDescent="0.25">
      <c r="D39" s="7"/>
      <c r="E39" s="7"/>
      <c r="F39" s="7"/>
      <c r="G39" s="1" t="s">
        <v>103</v>
      </c>
      <c r="J39" s="7">
        <f>M35</f>
        <v>4503.1905213680629</v>
      </c>
      <c r="M39" s="11">
        <f>J36/H36</f>
        <v>4.7980699207418785E-2</v>
      </c>
      <c r="N39" s="1" t="s">
        <v>39</v>
      </c>
    </row>
    <row r="40" spans="2:14" x14ac:dyDescent="0.25">
      <c r="D40" s="7"/>
      <c r="E40" s="7"/>
      <c r="F40" s="7"/>
      <c r="J40" s="40">
        <f>SUM(J38:J39)</f>
        <v>37014.175809984532</v>
      </c>
      <c r="M40" s="11"/>
    </row>
  </sheetData>
  <mergeCells count="2">
    <mergeCell ref="A1:U1"/>
    <mergeCell ref="A2:U2"/>
  </mergeCells>
  <pageMargins left="0.7" right="0.7" top="0.75" bottom="0.75" header="0.3" footer="0.3"/>
  <pageSetup scale="55" orientation="landscape" r:id="rId1"/>
  <ignoredErrors>
    <ignoredError sqref="E29 I24 I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workbookViewId="0">
      <selection activeCell="M34" sqref="M34"/>
    </sheetView>
  </sheetViews>
  <sheetFormatPr defaultRowHeight="15" x14ac:dyDescent="0.25"/>
  <cols>
    <col min="1" max="1" width="9.140625" style="1"/>
    <col min="2" max="2" width="10.85546875" style="1" customWidth="1"/>
    <col min="3" max="3" width="10.7109375" style="1" bestFit="1" customWidth="1"/>
    <col min="4" max="4" width="12" style="1" bestFit="1" customWidth="1"/>
    <col min="5" max="5" width="11.42578125" style="1" bestFit="1" customWidth="1"/>
    <col min="6" max="6" width="10.140625" style="1" bestFit="1" customWidth="1"/>
    <col min="7" max="7" width="12" style="1" bestFit="1" customWidth="1"/>
    <col min="8" max="9" width="14" style="1" bestFit="1" customWidth="1"/>
    <col min="10" max="10" width="12.7109375" style="1" bestFit="1" customWidth="1"/>
    <col min="11" max="11" width="9.140625" style="1"/>
    <col min="12" max="12" width="9.42578125" style="1" customWidth="1"/>
    <col min="13" max="16384" width="9.140625" style="1"/>
  </cols>
  <sheetData>
    <row r="1" spans="1:21" ht="18.75" x14ac:dyDescent="0.3">
      <c r="A1" s="71" t="s">
        <v>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18.75" x14ac:dyDescent="0.3">
      <c r="A2" s="71" t="s">
        <v>45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18.75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5.75" x14ac:dyDescent="0.25">
      <c r="A4" s="1" t="s">
        <v>0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4">
        <v>20</v>
      </c>
    </row>
    <row r="5" spans="1:21" ht="15.75" x14ac:dyDescent="0.25">
      <c r="A5" s="1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.75" x14ac:dyDescent="0.25">
      <c r="A6" s="2" t="s">
        <v>2</v>
      </c>
      <c r="B6" s="3">
        <v>15.5</v>
      </c>
      <c r="C6" s="3">
        <f>B6*0.03+B6</f>
        <v>15.965</v>
      </c>
      <c r="D6" s="3">
        <f t="shared" ref="D6:S9" si="0">C6*0.03+C6</f>
        <v>16.443950000000001</v>
      </c>
      <c r="E6" s="3">
        <f t="shared" si="0"/>
        <v>16.937268500000002</v>
      </c>
      <c r="F6" s="3">
        <f t="shared" si="0"/>
        <v>17.445386555000002</v>
      </c>
      <c r="G6" s="3">
        <f t="shared" si="0"/>
        <v>17.968748151650004</v>
      </c>
      <c r="H6" s="3">
        <f t="shared" si="0"/>
        <v>18.507810596199505</v>
      </c>
      <c r="I6" s="3">
        <f t="shared" si="0"/>
        <v>19.063044914085491</v>
      </c>
      <c r="J6" s="3">
        <f t="shared" si="0"/>
        <v>19.634936261508056</v>
      </c>
      <c r="K6" s="3">
        <f t="shared" si="0"/>
        <v>20.223984349353298</v>
      </c>
      <c r="L6" s="3">
        <f t="shared" si="0"/>
        <v>20.830703879833898</v>
      </c>
      <c r="M6" s="3">
        <f t="shared" si="0"/>
        <v>21.455624996228917</v>
      </c>
      <c r="N6" s="3">
        <f t="shared" si="0"/>
        <v>22.099293746115784</v>
      </c>
      <c r="O6" s="3">
        <f t="shared" si="0"/>
        <v>22.762272558499259</v>
      </c>
      <c r="P6" s="3">
        <f t="shared" si="0"/>
        <v>23.445140735254235</v>
      </c>
      <c r="Q6" s="3">
        <f t="shared" si="0"/>
        <v>24.148494957311861</v>
      </c>
      <c r="R6" s="3">
        <f t="shared" si="0"/>
        <v>24.872949806031215</v>
      </c>
      <c r="S6" s="3">
        <f t="shared" si="0"/>
        <v>25.619138300212153</v>
      </c>
      <c r="T6" s="3">
        <f t="shared" ref="T6:U9" si="1">S6*0.03+S6</f>
        <v>26.387712449218519</v>
      </c>
      <c r="U6" s="3">
        <f t="shared" si="1"/>
        <v>27.179343822695074</v>
      </c>
    </row>
    <row r="7" spans="1:21" ht="15.75" x14ac:dyDescent="0.25">
      <c r="A7" s="2" t="s">
        <v>3</v>
      </c>
      <c r="B7" s="3">
        <f>B6*0.06+B6</f>
        <v>16.43</v>
      </c>
      <c r="C7" s="3">
        <f>B7*0.03+B7</f>
        <v>16.922899999999998</v>
      </c>
      <c r="D7" s="3">
        <f t="shared" si="0"/>
        <v>17.430586999999999</v>
      </c>
      <c r="E7" s="3">
        <f t="shared" si="0"/>
        <v>17.95350461</v>
      </c>
      <c r="F7" s="3">
        <f t="shared" si="0"/>
        <v>18.492109748299999</v>
      </c>
      <c r="G7" s="3">
        <f t="shared" si="0"/>
        <v>19.046873040748999</v>
      </c>
      <c r="H7" s="3">
        <f t="shared" si="0"/>
        <v>19.618279231971467</v>
      </c>
      <c r="I7" s="3">
        <f t="shared" si="0"/>
        <v>20.20682760893061</v>
      </c>
      <c r="J7" s="3">
        <f t="shared" si="0"/>
        <v>20.81303243719853</v>
      </c>
      <c r="K7" s="3">
        <f t="shared" si="0"/>
        <v>21.437423410314487</v>
      </c>
      <c r="L7" s="3">
        <f t="shared" si="0"/>
        <v>22.080546112623921</v>
      </c>
      <c r="M7" s="3">
        <f t="shared" si="0"/>
        <v>22.74296249600264</v>
      </c>
      <c r="N7" s="3">
        <f t="shared" si="0"/>
        <v>23.425251370882719</v>
      </c>
      <c r="O7" s="3">
        <f t="shared" si="0"/>
        <v>24.1280089120092</v>
      </c>
      <c r="P7" s="3">
        <f t="shared" si="0"/>
        <v>24.851849179369477</v>
      </c>
      <c r="Q7" s="3">
        <f t="shared" si="0"/>
        <v>25.597404654750562</v>
      </c>
      <c r="R7" s="3">
        <f t="shared" si="0"/>
        <v>26.365326794393081</v>
      </c>
      <c r="S7" s="3">
        <f t="shared" si="0"/>
        <v>27.156286598224874</v>
      </c>
      <c r="T7" s="3">
        <f t="shared" si="1"/>
        <v>27.970975196171619</v>
      </c>
      <c r="U7" s="3">
        <f t="shared" si="1"/>
        <v>28.810104452056766</v>
      </c>
    </row>
    <row r="8" spans="1:21" ht="15.75" x14ac:dyDescent="0.25">
      <c r="A8" s="2" t="s">
        <v>4</v>
      </c>
      <c r="B8" s="3">
        <f>B7*0.06+B7</f>
        <v>17.415800000000001</v>
      </c>
      <c r="C8" s="3">
        <f>B8*0.03+B8</f>
        <v>17.938274</v>
      </c>
      <c r="D8" s="3">
        <f t="shared" si="0"/>
        <v>18.47642222</v>
      </c>
      <c r="E8" s="3">
        <f t="shared" si="0"/>
        <v>19.030714886599998</v>
      </c>
      <c r="F8" s="3">
        <f t="shared" si="0"/>
        <v>19.601636333197998</v>
      </c>
      <c r="G8" s="3">
        <f t="shared" si="0"/>
        <v>20.189685423193939</v>
      </c>
      <c r="H8" s="3">
        <f t="shared" si="0"/>
        <v>20.795375985889759</v>
      </c>
      <c r="I8" s="3">
        <f t="shared" si="0"/>
        <v>21.419237265466453</v>
      </c>
      <c r="J8" s="3">
        <f t="shared" si="0"/>
        <v>22.061814383430448</v>
      </c>
      <c r="K8" s="3">
        <f t="shared" si="0"/>
        <v>22.723668814933362</v>
      </c>
      <c r="L8" s="3">
        <f t="shared" si="0"/>
        <v>23.405378879381363</v>
      </c>
      <c r="M8" s="3">
        <f t="shared" si="0"/>
        <v>24.107540245762802</v>
      </c>
      <c r="N8" s="3">
        <f t="shared" si="0"/>
        <v>24.830766453135688</v>
      </c>
      <c r="O8" s="3">
        <f t="shared" si="0"/>
        <v>25.575689446729758</v>
      </c>
      <c r="P8" s="3">
        <f t="shared" si="0"/>
        <v>26.342960130131651</v>
      </c>
      <c r="Q8" s="3">
        <f t="shared" si="0"/>
        <v>27.133248934035599</v>
      </c>
      <c r="R8" s="3">
        <f t="shared" si="0"/>
        <v>27.947246402056667</v>
      </c>
      <c r="S8" s="3">
        <f t="shared" si="0"/>
        <v>28.785663794118367</v>
      </c>
      <c r="T8" s="3">
        <f t="shared" si="1"/>
        <v>29.649233707941917</v>
      </c>
      <c r="U8" s="3">
        <f t="shared" si="1"/>
        <v>30.538710719180173</v>
      </c>
    </row>
    <row r="9" spans="1:21" ht="15.75" x14ac:dyDescent="0.25">
      <c r="A9" s="2" t="s">
        <v>5</v>
      </c>
      <c r="B9" s="3">
        <f>B8*0.06+B8</f>
        <v>18.460748000000002</v>
      </c>
      <c r="C9" s="3">
        <f>B9*0.03+B9</f>
        <v>19.014570440000004</v>
      </c>
      <c r="D9" s="3">
        <f t="shared" si="0"/>
        <v>19.585007553200004</v>
      </c>
      <c r="E9" s="3">
        <f t="shared" si="0"/>
        <v>20.172557779796005</v>
      </c>
      <c r="F9" s="3">
        <f t="shared" si="0"/>
        <v>20.777734513189884</v>
      </c>
      <c r="G9" s="3">
        <f t="shared" si="0"/>
        <v>21.401066548585579</v>
      </c>
      <c r="H9" s="3">
        <f t="shared" si="0"/>
        <v>22.043098545043147</v>
      </c>
      <c r="I9" s="3">
        <f t="shared" si="0"/>
        <v>22.70439150139444</v>
      </c>
      <c r="J9" s="3">
        <f t="shared" si="0"/>
        <v>23.385523246436271</v>
      </c>
      <c r="K9" s="3">
        <f t="shared" si="0"/>
        <v>24.087088943829361</v>
      </c>
      <c r="L9" s="3">
        <f t="shared" si="0"/>
        <v>24.809701612144242</v>
      </c>
      <c r="M9" s="3">
        <f t="shared" si="0"/>
        <v>25.55399266050857</v>
      </c>
      <c r="N9" s="3">
        <f t="shared" si="0"/>
        <v>26.320612440323828</v>
      </c>
      <c r="O9" s="3">
        <f t="shared" si="0"/>
        <v>27.110230813533544</v>
      </c>
      <c r="P9" s="3">
        <f t="shared" si="0"/>
        <v>27.923537737939551</v>
      </c>
      <c r="Q9" s="3">
        <f t="shared" si="0"/>
        <v>28.761243870077738</v>
      </c>
      <c r="R9" s="3">
        <f t="shared" si="0"/>
        <v>29.624081186180071</v>
      </c>
      <c r="S9" s="3">
        <f t="shared" si="0"/>
        <v>30.512803621765475</v>
      </c>
      <c r="T9" s="3">
        <f t="shared" si="1"/>
        <v>31.42818773041844</v>
      </c>
      <c r="U9" s="3">
        <f t="shared" si="1"/>
        <v>32.371033362330991</v>
      </c>
    </row>
    <row r="11" spans="1:21" x14ac:dyDescent="0.25">
      <c r="A11" s="1" t="s">
        <v>1</v>
      </c>
    </row>
    <row r="12" spans="1:21" x14ac:dyDescent="0.25">
      <c r="A12" s="1" t="s">
        <v>2</v>
      </c>
      <c r="B12" s="6" t="s">
        <v>63</v>
      </c>
    </row>
    <row r="13" spans="1:21" x14ac:dyDescent="0.25">
      <c r="A13" s="1" t="s">
        <v>3</v>
      </c>
      <c r="B13" s="6" t="s">
        <v>60</v>
      </c>
    </row>
    <row r="14" spans="1:21" x14ac:dyDescent="0.25">
      <c r="A14" s="1" t="s">
        <v>4</v>
      </c>
      <c r="B14" s="1" t="s">
        <v>61</v>
      </c>
    </row>
    <row r="15" spans="1:21" x14ac:dyDescent="0.25">
      <c r="A15" s="1" t="s">
        <v>5</v>
      </c>
      <c r="B15" s="1" t="s">
        <v>11</v>
      </c>
    </row>
    <row r="17" spans="2:13" x14ac:dyDescent="0.25">
      <c r="B17" s="1" t="s">
        <v>41</v>
      </c>
    </row>
    <row r="18" spans="2:13" x14ac:dyDescent="0.25">
      <c r="B18" s="1" t="s">
        <v>48</v>
      </c>
    </row>
    <row r="19" spans="2:13" x14ac:dyDescent="0.25">
      <c r="B19" s="1" t="s">
        <v>64</v>
      </c>
      <c r="C19" s="6"/>
      <c r="D19" s="6"/>
      <c r="E19" s="6"/>
      <c r="F19" s="6"/>
      <c r="G19" s="6"/>
      <c r="H19" s="6"/>
      <c r="I19" s="6"/>
    </row>
    <row r="20" spans="2:13" x14ac:dyDescent="0.25">
      <c r="B20" s="1" t="s">
        <v>65</v>
      </c>
    </row>
    <row r="21" spans="2:13" ht="60" x14ac:dyDescent="0.25">
      <c r="B21" s="44" t="s">
        <v>15</v>
      </c>
      <c r="C21" s="44" t="s">
        <v>14</v>
      </c>
      <c r="D21" s="44" t="s">
        <v>16</v>
      </c>
      <c r="E21" s="44" t="s">
        <v>17</v>
      </c>
      <c r="F21" s="44" t="s">
        <v>19</v>
      </c>
      <c r="G21" s="44"/>
      <c r="H21" s="45" t="s">
        <v>62</v>
      </c>
      <c r="I21" s="45" t="s">
        <v>90</v>
      </c>
      <c r="J21" s="44" t="s">
        <v>19</v>
      </c>
      <c r="K21" s="44" t="s">
        <v>30</v>
      </c>
      <c r="L21" s="46" t="s">
        <v>49</v>
      </c>
      <c r="M21" s="28"/>
    </row>
    <row r="22" spans="2:13" x14ac:dyDescent="0.25">
      <c r="B22" s="44" t="s">
        <v>18</v>
      </c>
      <c r="C22" s="44" t="s">
        <v>67</v>
      </c>
      <c r="D22" s="47">
        <f>'2021-22'!E9</f>
        <v>18.576359000000004</v>
      </c>
      <c r="E22" s="48">
        <f>E8</f>
        <v>19.030714886599998</v>
      </c>
      <c r="F22" s="47">
        <f>E22-D22</f>
        <v>0.45435588659999482</v>
      </c>
      <c r="G22" s="49">
        <f t="shared" ref="G22:G31" si="2">F22/D22</f>
        <v>2.4458823529411481E-2</v>
      </c>
      <c r="H22" s="47">
        <f>D22*8*'[1]BOWMAN-CHAFFEE'!$B$19</f>
        <v>34626.333176000007</v>
      </c>
      <c r="I22" s="47">
        <f>E22*8*233</f>
        <v>35473.252548622397</v>
      </c>
      <c r="J22" s="47">
        <f>I22-H22</f>
        <v>846.91937262238935</v>
      </c>
      <c r="K22" s="49">
        <f t="shared" ref="K22:K31" si="3">J22/H22</f>
        <v>2.4458823529411453E-2</v>
      </c>
      <c r="L22" s="44">
        <v>900</v>
      </c>
    </row>
    <row r="23" spans="2:13" x14ac:dyDescent="0.25">
      <c r="B23" s="44" t="s">
        <v>28</v>
      </c>
      <c r="C23" s="44" t="s">
        <v>68</v>
      </c>
      <c r="D23" s="47">
        <f>'2021-22'!D8</f>
        <v>16.974399999999999</v>
      </c>
      <c r="E23" s="48">
        <f>D7</f>
        <v>17.430586999999999</v>
      </c>
      <c r="F23" s="47">
        <f>E23-D23</f>
        <v>0.4561869999999999</v>
      </c>
      <c r="G23" s="49">
        <f t="shared" si="2"/>
        <v>2.6874999999999996E-2</v>
      </c>
      <c r="H23" s="47">
        <f>D23*8*[1]CHAFFEE!$B$19</f>
        <v>35714.137600000002</v>
      </c>
      <c r="I23" s="47">
        <f>8*E23*263</f>
        <v>36673.955047999996</v>
      </c>
      <c r="J23" s="47">
        <f t="shared" ref="J23:J31" si="4">I23-H23</f>
        <v>959.81744799999433</v>
      </c>
      <c r="K23" s="49">
        <f t="shared" si="3"/>
        <v>2.687499999999984E-2</v>
      </c>
      <c r="L23" s="44">
        <v>900</v>
      </c>
    </row>
    <row r="24" spans="2:13" x14ac:dyDescent="0.25">
      <c r="B24" s="44" t="s">
        <v>20</v>
      </c>
      <c r="C24" s="44" t="s">
        <v>67</v>
      </c>
      <c r="D24" s="47">
        <v>18.579999999999998</v>
      </c>
      <c r="E24" s="48">
        <f>E8</f>
        <v>19.030714886599998</v>
      </c>
      <c r="F24" s="47">
        <f>E24-D24</f>
        <v>0.45071488660000014</v>
      </c>
      <c r="G24" s="49">
        <f t="shared" si="2"/>
        <v>2.4258067093649097E-2</v>
      </c>
      <c r="H24" s="47">
        <f>D24*8*[1]DUNN!$B$19</f>
        <v>34633.119999999995</v>
      </c>
      <c r="I24" s="47">
        <f>E24*8*233</f>
        <v>35473.252548622397</v>
      </c>
      <c r="J24" s="47">
        <f t="shared" si="4"/>
        <v>840.13254862240137</v>
      </c>
      <c r="K24" s="49">
        <f t="shared" si="3"/>
        <v>2.4258067093649128E-2</v>
      </c>
      <c r="L24" s="44">
        <v>900</v>
      </c>
    </row>
    <row r="25" spans="2:13" x14ac:dyDescent="0.25">
      <c r="B25" s="44" t="s">
        <v>21</v>
      </c>
      <c r="C25" s="44" t="s">
        <v>69</v>
      </c>
      <c r="D25" s="47">
        <f>'2021-22'!R9</f>
        <v>27.280009464679399</v>
      </c>
      <c r="E25" s="48">
        <f>R8</f>
        <v>27.947246402056667</v>
      </c>
      <c r="F25" s="47">
        <f t="shared" ref="F25:F31" si="5">E25-D25</f>
        <v>0.66723693737726819</v>
      </c>
      <c r="G25" s="49">
        <f t="shared" si="2"/>
        <v>2.4458823529411474E-2</v>
      </c>
      <c r="H25" s="47">
        <f>D25*8*[1]HODSON!$B$19</f>
        <v>57397.139913685452</v>
      </c>
      <c r="I25" s="47">
        <f>E25*8*263</f>
        <v>58801.006429927227</v>
      </c>
      <c r="J25" s="47">
        <f t="shared" si="4"/>
        <v>1403.8665162417747</v>
      </c>
      <c r="K25" s="49">
        <f t="shared" si="3"/>
        <v>2.4458823529411516E-2</v>
      </c>
      <c r="L25" s="44">
        <v>900</v>
      </c>
    </row>
    <row r="26" spans="2:13" x14ac:dyDescent="0.25">
      <c r="B26" s="44" t="s">
        <v>22</v>
      </c>
      <c r="C26" s="44" t="str">
        <f>[1]Summary!$C$9</f>
        <v>A/6</v>
      </c>
      <c r="D26" s="47">
        <f>'2021-22'!G6</f>
        <v>17.3891111145</v>
      </c>
      <c r="E26" s="48">
        <f>G6</f>
        <v>17.968748151650004</v>
      </c>
      <c r="F26" s="47">
        <f t="shared" si="5"/>
        <v>0.57963703715000392</v>
      </c>
      <c r="G26" s="49">
        <f t="shared" si="2"/>
        <v>3.3333333333333555E-2</v>
      </c>
      <c r="H26" s="47">
        <f>D26*5.75*[1]HULSEY!$B$19</f>
        <v>19497.540837133125</v>
      </c>
      <c r="I26" s="47">
        <f>E26*5.75*195</f>
        <v>20147.458865037566</v>
      </c>
      <c r="J26" s="47">
        <f t="shared" si="4"/>
        <v>649.91802790444126</v>
      </c>
      <c r="K26" s="49">
        <f t="shared" si="3"/>
        <v>3.3333333333333527E-2</v>
      </c>
      <c r="L26" s="44"/>
    </row>
    <row r="27" spans="2:13" x14ac:dyDescent="0.25">
      <c r="B27" s="44" t="s">
        <v>23</v>
      </c>
      <c r="C27" s="44" t="str">
        <f>[1]Summary!$C$10</f>
        <v>A/8</v>
      </c>
      <c r="D27" s="47">
        <f>'2021-22'!I6</f>
        <v>18.448107981373049</v>
      </c>
      <c r="E27" s="48">
        <f>I6</f>
        <v>19.063044914085491</v>
      </c>
      <c r="F27" s="47">
        <f t="shared" si="5"/>
        <v>0.61493693271244254</v>
      </c>
      <c r="G27" s="49">
        <f t="shared" si="2"/>
        <v>3.3333333333333742E-2</v>
      </c>
      <c r="H27" s="47">
        <f>D27*5.9*[1]LEE!$B$19</f>
        <v>21224.548232569694</v>
      </c>
      <c r="I27" s="47">
        <f>E27*5.9*195</f>
        <v>21932.03317365536</v>
      </c>
      <c r="J27" s="47">
        <f t="shared" si="4"/>
        <v>707.48494108566592</v>
      </c>
      <c r="K27" s="49">
        <f t="shared" si="3"/>
        <v>3.3333333333333777E-2</v>
      </c>
      <c r="L27" s="44"/>
    </row>
    <row r="28" spans="2:13" ht="45.75" customHeight="1" x14ac:dyDescent="0.25">
      <c r="B28" s="50" t="s">
        <v>73</v>
      </c>
      <c r="C28" s="48" t="s">
        <v>70</v>
      </c>
      <c r="D28" s="48">
        <f>'2021-22'!B6</f>
        <v>15</v>
      </c>
      <c r="E28" s="48">
        <f>B6</f>
        <v>15.5</v>
      </c>
      <c r="F28" s="48">
        <f>E28-D28</f>
        <v>0.5</v>
      </c>
      <c r="G28" s="49">
        <f t="shared" si="2"/>
        <v>3.3333333333333333E-2</v>
      </c>
      <c r="H28" s="47">
        <f>D28*3*[1]ALEXANDER!$B$19</f>
        <v>8775</v>
      </c>
      <c r="I28" s="47">
        <f>E28*3*[1]ALEXANDER!$B$19</f>
        <v>9067.5</v>
      </c>
      <c r="J28" s="47">
        <f>I28-H28</f>
        <v>292.5</v>
      </c>
      <c r="K28" s="49">
        <f t="shared" si="3"/>
        <v>3.3333333333333333E-2</v>
      </c>
      <c r="L28" s="44"/>
    </row>
    <row r="29" spans="2:13" x14ac:dyDescent="0.25">
      <c r="B29" s="46" t="s">
        <v>38</v>
      </c>
      <c r="C29" s="44" t="s">
        <v>71</v>
      </c>
      <c r="D29" s="47">
        <f>'2021-22'!G9</f>
        <v>19.707659263100005</v>
      </c>
      <c r="E29" s="48">
        <f>G8</f>
        <v>20.189685423193939</v>
      </c>
      <c r="F29" s="47">
        <f t="shared" si="5"/>
        <v>0.48202616009393395</v>
      </c>
      <c r="G29" s="49">
        <f t="shared" si="2"/>
        <v>2.445882352941145E-2</v>
      </c>
      <c r="H29" s="47">
        <f>D29*7.5*[1]HARKEMA!$B$19</f>
        <v>30152.718672543007</v>
      </c>
      <c r="I29" s="47">
        <f>E29*7.5*204</f>
        <v>30890.218697486725</v>
      </c>
      <c r="J29" s="47">
        <f t="shared" si="4"/>
        <v>737.50002494371802</v>
      </c>
      <c r="K29" s="49">
        <f t="shared" si="3"/>
        <v>2.4458823529411422E-2</v>
      </c>
      <c r="L29" s="44"/>
    </row>
    <row r="30" spans="2:13" x14ac:dyDescent="0.25">
      <c r="B30" s="44" t="s">
        <v>24</v>
      </c>
      <c r="C30" s="44" t="str">
        <f>[1]Summary!$C$11</f>
        <v>A/9</v>
      </c>
      <c r="D30" s="47">
        <f>'2021-22'!J6</f>
        <v>19.001551220814239</v>
      </c>
      <c r="E30" s="48">
        <f>J6</f>
        <v>19.634936261508056</v>
      </c>
      <c r="F30" s="47">
        <f t="shared" si="5"/>
        <v>0.63338504069381685</v>
      </c>
      <c r="G30" s="49">
        <f t="shared" si="2"/>
        <v>3.3333333333333798E-2</v>
      </c>
      <c r="H30" s="47">
        <f>D30*5.75*[1]SPOON!$B$19</f>
        <v>21305.489306337964</v>
      </c>
      <c r="I30" s="47">
        <f>E30*5.75*195</f>
        <v>22015.672283215907</v>
      </c>
      <c r="J30" s="47">
        <f t="shared" si="4"/>
        <v>710.18297687794256</v>
      </c>
      <c r="K30" s="49">
        <f t="shared" si="3"/>
        <v>3.3333333333333826E-2</v>
      </c>
      <c r="L30" s="44"/>
    </row>
    <row r="31" spans="2:13" x14ac:dyDescent="0.25">
      <c r="B31" s="44" t="s">
        <v>25</v>
      </c>
      <c r="C31" s="44" t="s">
        <v>72</v>
      </c>
      <c r="D31" s="47">
        <f>'2021-22'!F8</f>
        <v>18.008140959999999</v>
      </c>
      <c r="E31" s="48">
        <f>F7</f>
        <v>18.492109748299999</v>
      </c>
      <c r="F31" s="47">
        <f t="shared" si="5"/>
        <v>0.48396878830000034</v>
      </c>
      <c r="G31" s="49">
        <f t="shared" si="2"/>
        <v>2.687500000000002E-2</v>
      </c>
      <c r="H31" s="47">
        <f>D31*8*[1]VEERKAMP!$B$19</f>
        <v>37889.128579839999</v>
      </c>
      <c r="I31" s="47">
        <f>E31*8*263</f>
        <v>38907.398910423195</v>
      </c>
      <c r="J31" s="47">
        <f t="shared" si="4"/>
        <v>1018.2703305831965</v>
      </c>
      <c r="K31" s="49">
        <f t="shared" si="3"/>
        <v>2.6874999999999909E-2</v>
      </c>
      <c r="L31" s="44">
        <v>900</v>
      </c>
    </row>
    <row r="32" spans="2:13" x14ac:dyDescent="0.25">
      <c r="D32" s="7"/>
      <c r="E32" s="7"/>
      <c r="F32" s="7"/>
      <c r="G32" s="32"/>
      <c r="H32" s="8"/>
      <c r="I32" s="8"/>
      <c r="J32" s="8"/>
      <c r="K32" s="29">
        <f>AVERAGE(K22:K31)</f>
        <v>2.8471787101521772E-2</v>
      </c>
      <c r="L32" s="1">
        <f>SUM(L22:L31)</f>
        <v>4500</v>
      </c>
    </row>
    <row r="33" spans="1:14" x14ac:dyDescent="0.25">
      <c r="D33" s="10"/>
      <c r="E33" s="7"/>
      <c r="F33" s="7"/>
      <c r="G33" s="1" t="s">
        <v>39</v>
      </c>
      <c r="H33" s="7">
        <f>SUM(H22:H32)</f>
        <v>301215.15631810925</v>
      </c>
      <c r="I33" s="7">
        <f>SUM(I22:I32)</f>
        <v>309381.74850499077</v>
      </c>
      <c r="J33" s="7">
        <f>SUM(J22:J32)</f>
        <v>8166.592186881524</v>
      </c>
    </row>
    <row r="34" spans="1:14" x14ac:dyDescent="0.25">
      <c r="D34" s="7"/>
      <c r="E34" s="7"/>
      <c r="F34" s="7"/>
      <c r="G34" s="1" t="s">
        <v>50</v>
      </c>
      <c r="H34" s="7">
        <f>5*950*12</f>
        <v>57000</v>
      </c>
      <c r="I34" s="7">
        <f>5*1025*12</f>
        <v>61500</v>
      </c>
      <c r="J34" s="7">
        <f>I34-H34</f>
        <v>4500</v>
      </c>
      <c r="M34" s="11">
        <f>J33/H33</f>
        <v>2.7112155599026022E-2</v>
      </c>
      <c r="N34" s="1" t="s">
        <v>39</v>
      </c>
    </row>
    <row r="35" spans="1:14" x14ac:dyDescent="0.25">
      <c r="D35" s="7"/>
      <c r="E35" s="7"/>
      <c r="F35" s="7"/>
      <c r="H35" s="40">
        <f>SUM(H33:H34)</f>
        <v>358215.15631810925</v>
      </c>
      <c r="I35" s="40">
        <f>SUM(I33:I34)</f>
        <v>370881.74850499077</v>
      </c>
      <c r="J35" s="40">
        <f>SUM(J33:J34)</f>
        <v>12666.592186881524</v>
      </c>
      <c r="M35" s="11">
        <f>J34/H34</f>
        <v>7.8947368421052627E-2</v>
      </c>
      <c r="N35" s="1" t="s">
        <v>93</v>
      </c>
    </row>
    <row r="36" spans="1:14" x14ac:dyDescent="0.25">
      <c r="D36" s="7"/>
      <c r="E36" s="7"/>
      <c r="F36" s="7"/>
      <c r="M36" s="43">
        <f>E40/H33</f>
        <v>3.2833108801323008E-2</v>
      </c>
      <c r="N36" s="1" t="s">
        <v>92</v>
      </c>
    </row>
    <row r="37" spans="1:14" x14ac:dyDescent="0.25">
      <c r="D37" s="7"/>
      <c r="E37" s="7"/>
      <c r="F37" s="7"/>
      <c r="M37" s="11">
        <f>SUM(M34:M36)</f>
        <v>0.13889263282140166</v>
      </c>
    </row>
    <row r="38" spans="1:14" x14ac:dyDescent="0.25">
      <c r="B38" s="1" t="s">
        <v>95</v>
      </c>
      <c r="D38" s="7"/>
      <c r="E38" s="7"/>
      <c r="F38" s="7"/>
    </row>
    <row r="39" spans="1:14" x14ac:dyDescent="0.25">
      <c r="B39" s="10">
        <f>F39</f>
        <v>2.7112155599026022E-2</v>
      </c>
      <c r="D39" s="7"/>
      <c r="E39" s="7">
        <v>8166.59</v>
      </c>
      <c r="F39" s="11">
        <f>J33/H33</f>
        <v>2.7112155599026022E-2</v>
      </c>
      <c r="G39" s="1" t="s">
        <v>39</v>
      </c>
    </row>
    <row r="40" spans="1:14" x14ac:dyDescent="0.25">
      <c r="B40" s="10">
        <f>F40</f>
        <v>3.2833108801323008E-2</v>
      </c>
      <c r="E40" s="41">
        <f>H57</f>
        <v>9889.8299999999981</v>
      </c>
      <c r="F40" s="11">
        <f>E40/H33</f>
        <v>3.2833108801323008E-2</v>
      </c>
      <c r="G40" s="1" t="s">
        <v>88</v>
      </c>
    </row>
    <row r="41" spans="1:14" ht="60" x14ac:dyDescent="0.25">
      <c r="A41" s="28" t="s">
        <v>94</v>
      </c>
      <c r="B41" s="42">
        <f>J34/H33</f>
        <v>1.4939487292092338E-2</v>
      </c>
      <c r="E41" s="41">
        <v>4500</v>
      </c>
      <c r="F41" s="43">
        <f>J34/H34</f>
        <v>7.8947368421052627E-2</v>
      </c>
      <c r="G41" s="1" t="s">
        <v>89</v>
      </c>
    </row>
    <row r="42" spans="1:14" x14ac:dyDescent="0.25">
      <c r="B42" s="32">
        <f>SUM(B39:B41)</f>
        <v>7.4884751692441368E-2</v>
      </c>
      <c r="E42" s="7">
        <f>SUM(E39:E41)</f>
        <v>22556.42</v>
      </c>
      <c r="F42" s="56">
        <f>SUM(F39:F41)</f>
        <v>0.13889263282140166</v>
      </c>
    </row>
    <row r="43" spans="1:14" ht="15.75" thickBot="1" x14ac:dyDescent="0.3">
      <c r="G43" s="32"/>
    </row>
    <row r="44" spans="1:14" x14ac:dyDescent="0.25">
      <c r="B44" s="57" t="s">
        <v>44</v>
      </c>
      <c r="C44" s="58"/>
      <c r="D44" s="58"/>
      <c r="E44" s="58"/>
      <c r="F44" s="58"/>
      <c r="G44" s="58"/>
      <c r="H44" s="58"/>
      <c r="I44" s="59"/>
    </row>
    <row r="45" spans="1:14" x14ac:dyDescent="0.25">
      <c r="B45" s="60" t="s">
        <v>37</v>
      </c>
      <c r="C45" s="51"/>
      <c r="D45" s="51"/>
      <c r="E45" s="51"/>
      <c r="F45" s="51"/>
      <c r="G45" s="51"/>
      <c r="H45" s="51"/>
      <c r="I45" s="61"/>
    </row>
    <row r="46" spans="1:14" x14ac:dyDescent="0.25">
      <c r="B46" s="60" t="s">
        <v>91</v>
      </c>
      <c r="C46" s="51"/>
      <c r="D46" s="51"/>
      <c r="E46" s="52">
        <v>6.2E-2</v>
      </c>
      <c r="F46" s="52">
        <v>5.0000000000000001E-3</v>
      </c>
      <c r="G46" s="52">
        <v>3.1870000000000002E-2</v>
      </c>
      <c r="H46" s="51"/>
      <c r="I46" s="61"/>
    </row>
    <row r="47" spans="1:14" ht="30" x14ac:dyDescent="0.25">
      <c r="B47" s="62" t="s">
        <v>15</v>
      </c>
      <c r="C47" s="51"/>
      <c r="D47" s="53" t="s">
        <v>35</v>
      </c>
      <c r="E47" s="51" t="s">
        <v>31</v>
      </c>
      <c r="F47" s="51" t="s">
        <v>32</v>
      </c>
      <c r="G47" s="51" t="s">
        <v>33</v>
      </c>
      <c r="H47" s="51" t="s">
        <v>34</v>
      </c>
      <c r="I47" s="61"/>
    </row>
    <row r="48" spans="1:14" x14ac:dyDescent="0.25">
      <c r="B48" s="62" t="s">
        <v>18</v>
      </c>
      <c r="C48" s="51"/>
      <c r="D48" s="54">
        <v>1000</v>
      </c>
      <c r="E48" s="55">
        <f>D48*E46</f>
        <v>62</v>
      </c>
      <c r="F48" s="55">
        <f>D48*F46</f>
        <v>5</v>
      </c>
      <c r="G48" s="55">
        <f>D48*G46</f>
        <v>31.87</v>
      </c>
      <c r="H48" s="54">
        <f t="shared" ref="H48:H56" si="6">SUM(D48:G48)</f>
        <v>1098.8699999999999</v>
      </c>
      <c r="I48" s="61"/>
    </row>
    <row r="49" spans="2:10" x14ac:dyDescent="0.25">
      <c r="B49" s="62" t="s">
        <v>20</v>
      </c>
      <c r="C49" s="51"/>
      <c r="D49" s="54">
        <v>1000</v>
      </c>
      <c r="E49" s="55">
        <f>D49*E46</f>
        <v>62</v>
      </c>
      <c r="F49" s="55">
        <f>D49*F46</f>
        <v>5</v>
      </c>
      <c r="G49" s="55">
        <f>D49*G46</f>
        <v>31.87</v>
      </c>
      <c r="H49" s="54">
        <f t="shared" si="6"/>
        <v>1098.8699999999999</v>
      </c>
      <c r="I49" s="61"/>
    </row>
    <row r="50" spans="2:10" x14ac:dyDescent="0.25">
      <c r="B50" s="62" t="s">
        <v>28</v>
      </c>
      <c r="C50" s="51"/>
      <c r="D50" s="54">
        <v>1000</v>
      </c>
      <c r="E50" s="55">
        <f>D50*E46</f>
        <v>62</v>
      </c>
      <c r="F50" s="55">
        <f>D50*F46</f>
        <v>5</v>
      </c>
      <c r="G50" s="55">
        <f>D50*G46</f>
        <v>31.87</v>
      </c>
      <c r="H50" s="54">
        <f t="shared" si="6"/>
        <v>1098.8699999999999</v>
      </c>
      <c r="I50" s="61"/>
    </row>
    <row r="51" spans="2:10" x14ac:dyDescent="0.25">
      <c r="B51" s="62" t="s">
        <v>38</v>
      </c>
      <c r="C51" s="51"/>
      <c r="D51" s="54">
        <v>1000</v>
      </c>
      <c r="E51" s="55">
        <f>D51*E46</f>
        <v>62</v>
      </c>
      <c r="F51" s="55">
        <f>D51*F46</f>
        <v>5</v>
      </c>
      <c r="G51" s="55">
        <f>G46*D51</f>
        <v>31.87</v>
      </c>
      <c r="H51" s="54">
        <f>SUM(D51:G51)</f>
        <v>1098.8699999999999</v>
      </c>
      <c r="I51" s="61"/>
    </row>
    <row r="52" spans="2:10" x14ac:dyDescent="0.25">
      <c r="B52" s="62" t="s">
        <v>21</v>
      </c>
      <c r="C52" s="51"/>
      <c r="D52" s="54">
        <v>1000</v>
      </c>
      <c r="E52" s="55">
        <f>D52*E46</f>
        <v>62</v>
      </c>
      <c r="F52" s="55">
        <f>D52*F46</f>
        <v>5</v>
      </c>
      <c r="G52" s="55">
        <f>D52*G46</f>
        <v>31.87</v>
      </c>
      <c r="H52" s="54">
        <f t="shared" si="6"/>
        <v>1098.8699999999999</v>
      </c>
      <c r="I52" s="61"/>
    </row>
    <row r="53" spans="2:10" x14ac:dyDescent="0.25">
      <c r="B53" s="62" t="s">
        <v>22</v>
      </c>
      <c r="C53" s="51"/>
      <c r="D53" s="54">
        <v>1000</v>
      </c>
      <c r="E53" s="55">
        <f>D53*E46</f>
        <v>62</v>
      </c>
      <c r="F53" s="55">
        <f>D53*F46</f>
        <v>5</v>
      </c>
      <c r="G53" s="55">
        <f>D53*G46</f>
        <v>31.87</v>
      </c>
      <c r="H53" s="54">
        <f t="shared" si="6"/>
        <v>1098.8699999999999</v>
      </c>
      <c r="I53" s="61"/>
    </row>
    <row r="54" spans="2:10" x14ac:dyDescent="0.25">
      <c r="B54" s="62" t="s">
        <v>23</v>
      </c>
      <c r="C54" s="51"/>
      <c r="D54" s="54">
        <v>1000</v>
      </c>
      <c r="E54" s="55">
        <f>D54*E46</f>
        <v>62</v>
      </c>
      <c r="F54" s="55">
        <f>D54*F46</f>
        <v>5</v>
      </c>
      <c r="G54" s="55">
        <f>D54*G46</f>
        <v>31.87</v>
      </c>
      <c r="H54" s="54">
        <f t="shared" si="6"/>
        <v>1098.8699999999999</v>
      </c>
      <c r="I54" s="61"/>
    </row>
    <row r="55" spans="2:10" x14ac:dyDescent="0.25">
      <c r="B55" s="62" t="s">
        <v>24</v>
      </c>
      <c r="C55" s="51"/>
      <c r="D55" s="54">
        <v>1000</v>
      </c>
      <c r="E55" s="55">
        <f>D55*E46</f>
        <v>62</v>
      </c>
      <c r="F55" s="55">
        <f>D55*F46</f>
        <v>5</v>
      </c>
      <c r="G55" s="55">
        <f>D55*G46</f>
        <v>31.87</v>
      </c>
      <c r="H55" s="54">
        <f t="shared" si="6"/>
        <v>1098.8699999999999</v>
      </c>
      <c r="I55" s="61"/>
    </row>
    <row r="56" spans="2:10" x14ac:dyDescent="0.25">
      <c r="B56" s="62" t="s">
        <v>25</v>
      </c>
      <c r="C56" s="51"/>
      <c r="D56" s="54">
        <v>1000</v>
      </c>
      <c r="E56" s="55">
        <f>D56*E46</f>
        <v>62</v>
      </c>
      <c r="F56" s="55">
        <f>D56*F46</f>
        <v>5</v>
      </c>
      <c r="G56" s="55">
        <f>D56*G46</f>
        <v>31.87</v>
      </c>
      <c r="H56" s="54">
        <f t="shared" si="6"/>
        <v>1098.8699999999999</v>
      </c>
      <c r="I56" s="61"/>
    </row>
    <row r="57" spans="2:10" x14ac:dyDescent="0.25">
      <c r="B57" s="60"/>
      <c r="C57" s="51"/>
      <c r="D57" s="54">
        <f>SUM(D48:D56)</f>
        <v>9000</v>
      </c>
      <c r="E57" s="51"/>
      <c r="F57" s="51"/>
      <c r="G57" s="51"/>
      <c r="H57" s="54">
        <f>SUM(H48:H56)</f>
        <v>9889.8299999999981</v>
      </c>
      <c r="I57" s="63">
        <f>H57-D57</f>
        <v>889.82999999999811</v>
      </c>
    </row>
    <row r="58" spans="2:10" ht="15.75" thickBot="1" x14ac:dyDescent="0.3">
      <c r="B58" s="64"/>
      <c r="C58" s="65"/>
      <c r="D58" s="67" t="s">
        <v>43</v>
      </c>
      <c r="E58" s="65"/>
      <c r="F58" s="65"/>
      <c r="G58" s="65"/>
      <c r="H58" s="65"/>
      <c r="I58" s="66" t="s">
        <v>42</v>
      </c>
    </row>
    <row r="59" spans="2:10" x14ac:dyDescent="0.25">
      <c r="B59" s="51" t="s">
        <v>66</v>
      </c>
      <c r="C59" s="51"/>
      <c r="D59" s="51"/>
      <c r="E59" s="51"/>
      <c r="F59" s="51"/>
      <c r="G59" s="51"/>
      <c r="H59" s="51"/>
      <c r="I59" s="51"/>
      <c r="J59" s="19"/>
    </row>
    <row r="60" spans="2:10" x14ac:dyDescent="0.25">
      <c r="B60" s="19"/>
      <c r="C60" s="19"/>
      <c r="D60" s="19"/>
      <c r="E60" s="19"/>
      <c r="F60" s="19"/>
      <c r="G60" s="19"/>
      <c r="H60" s="19"/>
      <c r="I60" s="19"/>
      <c r="J60" s="19"/>
    </row>
  </sheetData>
  <mergeCells count="2">
    <mergeCell ref="A1:U1"/>
    <mergeCell ref="A2:U2"/>
  </mergeCells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activeCell="C42" sqref="C42"/>
    </sheetView>
  </sheetViews>
  <sheetFormatPr defaultRowHeight="15" x14ac:dyDescent="0.25"/>
  <cols>
    <col min="1" max="16384" width="9.140625" style="1"/>
  </cols>
  <sheetData>
    <row r="1" spans="1:21" ht="18.75" x14ac:dyDescent="0.3">
      <c r="A1" s="71" t="s">
        <v>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18.75" x14ac:dyDescent="0.3">
      <c r="A2" s="71" t="s">
        <v>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5.75" x14ac:dyDescent="0.25">
      <c r="A4" s="1" t="s">
        <v>0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4">
        <v>20</v>
      </c>
    </row>
    <row r="5" spans="1:21" ht="15.75" x14ac:dyDescent="0.25">
      <c r="A5" s="1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.75" x14ac:dyDescent="0.25">
      <c r="A6" s="2" t="s">
        <v>2</v>
      </c>
      <c r="B6" s="3">
        <v>13</v>
      </c>
      <c r="C6" s="3">
        <v>13.39</v>
      </c>
      <c r="D6" s="3">
        <v>13.79</v>
      </c>
      <c r="E6" s="3">
        <v>14.21</v>
      </c>
      <c r="F6" s="3">
        <v>14.63</v>
      </c>
      <c r="G6" s="3">
        <v>15.07</v>
      </c>
      <c r="H6" s="3">
        <v>15.52</v>
      </c>
      <c r="I6" s="3">
        <v>15.99</v>
      </c>
      <c r="J6" s="3">
        <v>16.47</v>
      </c>
      <c r="K6" s="3">
        <v>16.96</v>
      </c>
      <c r="L6" s="3">
        <v>17.47</v>
      </c>
      <c r="M6" s="3">
        <v>18</v>
      </c>
      <c r="N6" s="3">
        <v>18.533000000000001</v>
      </c>
      <c r="O6" s="3">
        <v>19.09</v>
      </c>
      <c r="P6" s="3">
        <v>19.66</v>
      </c>
      <c r="Q6" s="3">
        <v>20.25</v>
      </c>
      <c r="R6" s="3">
        <v>20.86</v>
      </c>
      <c r="S6" s="3">
        <v>21.49</v>
      </c>
      <c r="T6" s="3">
        <v>22.13</v>
      </c>
      <c r="U6" s="3">
        <v>22.8</v>
      </c>
    </row>
    <row r="7" spans="1:21" ht="15.75" x14ac:dyDescent="0.25">
      <c r="A7" s="2" t="s">
        <v>3</v>
      </c>
      <c r="B7" s="3">
        <v>13.91</v>
      </c>
      <c r="C7" s="3">
        <v>14.33</v>
      </c>
      <c r="D7" s="3">
        <v>14.76</v>
      </c>
      <c r="E7" s="3">
        <v>15.2</v>
      </c>
      <c r="F7" s="3">
        <v>15.66</v>
      </c>
      <c r="G7" s="3">
        <v>16.13</v>
      </c>
      <c r="H7" s="3">
        <v>16.61</v>
      </c>
      <c r="I7" s="3">
        <v>17.11</v>
      </c>
      <c r="J7" s="3">
        <v>17.62</v>
      </c>
      <c r="K7" s="3">
        <v>18.149999999999999</v>
      </c>
      <c r="L7" s="3">
        <v>18.690000000000001</v>
      </c>
      <c r="M7" s="3">
        <v>19.25</v>
      </c>
      <c r="N7" s="3">
        <v>19.829999999999998</v>
      </c>
      <c r="O7" s="3">
        <v>20.43</v>
      </c>
      <c r="P7" s="3">
        <v>21.04</v>
      </c>
      <c r="Q7" s="3">
        <v>21.67</v>
      </c>
      <c r="R7" s="3">
        <v>22.32</v>
      </c>
      <c r="S7" s="3">
        <v>22.99</v>
      </c>
      <c r="T7" s="3">
        <v>23.68</v>
      </c>
      <c r="U7" s="3">
        <v>24.39</v>
      </c>
    </row>
    <row r="8" spans="1:21" ht="15.75" x14ac:dyDescent="0.25">
      <c r="A8" s="2" t="s">
        <v>4</v>
      </c>
      <c r="B8" s="3">
        <v>14.88</v>
      </c>
      <c r="C8" s="3">
        <v>15.33</v>
      </c>
      <c r="D8" s="3">
        <v>15.79</v>
      </c>
      <c r="E8" s="3">
        <v>16.260000000000002</v>
      </c>
      <c r="F8" s="3">
        <v>16.75</v>
      </c>
      <c r="G8" s="3">
        <v>17.25</v>
      </c>
      <c r="H8" s="3">
        <v>17.77</v>
      </c>
      <c r="I8" s="3">
        <v>18.309999999999999</v>
      </c>
      <c r="J8" s="3">
        <v>18.850000000000001</v>
      </c>
      <c r="K8" s="3">
        <v>19.420000000000002</v>
      </c>
      <c r="L8" s="3">
        <v>20</v>
      </c>
      <c r="M8" s="3">
        <v>20.6</v>
      </c>
      <c r="N8" s="3">
        <v>21.22</v>
      </c>
      <c r="O8" s="3">
        <v>21.86</v>
      </c>
      <c r="P8" s="3">
        <v>22.51</v>
      </c>
      <c r="Q8" s="3">
        <v>23.19</v>
      </c>
      <c r="R8" s="3">
        <v>23.88</v>
      </c>
      <c r="S8" s="3">
        <v>24.6</v>
      </c>
      <c r="T8" s="3">
        <v>25.34</v>
      </c>
      <c r="U8" s="3">
        <v>26.1</v>
      </c>
    </row>
    <row r="9" spans="1:21" ht="15.75" x14ac:dyDescent="0.25">
      <c r="A9" s="2" t="s">
        <v>5</v>
      </c>
      <c r="B9" s="3">
        <v>15.93</v>
      </c>
      <c r="C9" s="3">
        <v>16.399999999999999</v>
      </c>
      <c r="D9" s="3">
        <v>16.899999999999999</v>
      </c>
      <c r="E9" s="3">
        <v>17.399999999999999</v>
      </c>
      <c r="F9" s="3">
        <v>17.920000000000002</v>
      </c>
      <c r="G9" s="3">
        <v>18.46</v>
      </c>
      <c r="H9" s="3">
        <v>19.02</v>
      </c>
      <c r="I9" s="3">
        <v>19.59</v>
      </c>
      <c r="J9" s="3">
        <v>20.170000000000002</v>
      </c>
      <c r="K9" s="3">
        <v>20.78</v>
      </c>
      <c r="L9" s="3">
        <v>21.4</v>
      </c>
      <c r="M9" s="3">
        <v>22.04</v>
      </c>
      <c r="N9" s="3">
        <v>22.71</v>
      </c>
      <c r="O9" s="3">
        <v>23.39</v>
      </c>
      <c r="P9" s="3">
        <v>24.09</v>
      </c>
      <c r="Q9" s="3">
        <v>24.81</v>
      </c>
      <c r="R9" s="3">
        <v>25.56</v>
      </c>
      <c r="S9" s="3">
        <v>26.32</v>
      </c>
      <c r="T9" s="3">
        <v>27.11</v>
      </c>
      <c r="U9" s="3">
        <v>27.93</v>
      </c>
    </row>
    <row r="10" spans="1:21" ht="15.75" x14ac:dyDescent="0.25">
      <c r="A10" s="2" t="s">
        <v>6</v>
      </c>
      <c r="B10" s="3">
        <v>17.05</v>
      </c>
      <c r="C10" s="3">
        <v>17.559999999999999</v>
      </c>
      <c r="D10" s="3">
        <v>18.09</v>
      </c>
      <c r="E10" s="3">
        <v>18.63</v>
      </c>
      <c r="F10" s="3">
        <v>19.190000000000001</v>
      </c>
      <c r="G10" s="3">
        <v>19.77</v>
      </c>
      <c r="H10" s="3">
        <v>20.36</v>
      </c>
      <c r="I10" s="3">
        <v>20.97</v>
      </c>
      <c r="J10" s="3">
        <v>21.6</v>
      </c>
      <c r="K10" s="3">
        <v>22.25</v>
      </c>
      <c r="L10" s="3">
        <v>22.91</v>
      </c>
      <c r="M10" s="3">
        <v>23.6</v>
      </c>
      <c r="N10" s="3">
        <v>24.31</v>
      </c>
      <c r="O10" s="3">
        <v>25.04</v>
      </c>
      <c r="P10" s="3">
        <v>25.79</v>
      </c>
      <c r="Q10" s="3">
        <v>26.56</v>
      </c>
      <c r="R10" s="3">
        <v>27.36</v>
      </c>
      <c r="S10" s="3">
        <v>28.18</v>
      </c>
      <c r="T10" s="3">
        <v>29.03</v>
      </c>
      <c r="U10" s="3">
        <v>29.9</v>
      </c>
    </row>
    <row r="12" spans="1:21" x14ac:dyDescent="0.25">
      <c r="A12" s="1" t="s">
        <v>1</v>
      </c>
    </row>
    <row r="13" spans="1:21" x14ac:dyDescent="0.25">
      <c r="A13" s="1" t="s">
        <v>2</v>
      </c>
      <c r="B13" s="1" t="s">
        <v>7</v>
      </c>
    </row>
    <row r="14" spans="1:21" x14ac:dyDescent="0.25">
      <c r="A14" s="1" t="s">
        <v>3</v>
      </c>
      <c r="B14" s="1" t="s">
        <v>8</v>
      </c>
    </row>
    <row r="15" spans="1:21" x14ac:dyDescent="0.25">
      <c r="A15" s="1" t="s">
        <v>4</v>
      </c>
      <c r="B15" s="1" t="s">
        <v>9</v>
      </c>
    </row>
    <row r="16" spans="1:21" x14ac:dyDescent="0.25">
      <c r="A16" s="1" t="s">
        <v>5</v>
      </c>
      <c r="B16" s="1" t="s">
        <v>10</v>
      </c>
    </row>
    <row r="17" spans="1:2" x14ac:dyDescent="0.25">
      <c r="A17" s="1" t="s">
        <v>6</v>
      </c>
      <c r="B17" s="1" t="s">
        <v>11</v>
      </c>
    </row>
    <row r="19" spans="1:2" x14ac:dyDescent="0.25">
      <c r="B19" s="1" t="s">
        <v>36</v>
      </c>
    </row>
    <row r="21" spans="1:2" x14ac:dyDescent="0.25">
      <c r="B21" s="1" t="s">
        <v>13</v>
      </c>
    </row>
  </sheetData>
  <mergeCells count="2">
    <mergeCell ref="A1:U1"/>
    <mergeCell ref="A2:U2"/>
  </mergeCells>
  <pageMargins left="0.25" right="0.25" top="0.75" bottom="0.75" header="0.3" footer="0.3"/>
  <pageSetup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9"/>
  <sheetViews>
    <sheetView workbookViewId="0">
      <selection activeCell="D38" sqref="D38"/>
    </sheetView>
  </sheetViews>
  <sheetFormatPr defaultRowHeight="15" x14ac:dyDescent="0.25"/>
  <cols>
    <col min="1" max="1" width="9.140625" style="1"/>
    <col min="2" max="2" width="7.42578125" style="1" customWidth="1"/>
    <col min="3" max="4" width="7.28515625" style="1" bestFit="1" customWidth="1"/>
    <col min="5" max="5" width="10" style="1" bestFit="1" customWidth="1"/>
    <col min="6" max="21" width="7.28515625" style="1" bestFit="1" customWidth="1"/>
    <col min="22" max="16384" width="9.140625" style="1"/>
  </cols>
  <sheetData>
    <row r="1" spans="1:21" ht="18.75" x14ac:dyDescent="0.3">
      <c r="A1" s="71" t="s">
        <v>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18.75" x14ac:dyDescent="0.3">
      <c r="A2" s="71" t="s">
        <v>45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18.75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5.75" x14ac:dyDescent="0.25">
      <c r="A4" s="1" t="s">
        <v>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</row>
    <row r="5" spans="1:21" ht="15.75" x14ac:dyDescent="0.25">
      <c r="A5" s="1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.75" x14ac:dyDescent="0.25">
      <c r="A6" s="2" t="s">
        <v>2</v>
      </c>
      <c r="B6" s="3">
        <v>15</v>
      </c>
      <c r="C6" s="3">
        <f>B6*0.03+B6</f>
        <v>15.45</v>
      </c>
      <c r="D6" s="3">
        <f t="shared" ref="D6:S10" si="0">C6*0.03+C6</f>
        <v>15.913499999999999</v>
      </c>
      <c r="E6" s="3">
        <f t="shared" si="0"/>
        <v>16.390905</v>
      </c>
      <c r="F6" s="3">
        <f t="shared" si="0"/>
        <v>16.882632149999999</v>
      </c>
      <c r="G6" s="3">
        <f t="shared" si="0"/>
        <v>17.3891111145</v>
      </c>
      <c r="H6" s="3">
        <f t="shared" si="0"/>
        <v>17.910784447935001</v>
      </c>
      <c r="I6" s="3">
        <f t="shared" si="0"/>
        <v>18.448107981373049</v>
      </c>
      <c r="J6" s="3">
        <f t="shared" si="0"/>
        <v>19.001551220814239</v>
      </c>
      <c r="K6" s="3">
        <f t="shared" si="0"/>
        <v>19.571597757438667</v>
      </c>
      <c r="L6" s="3">
        <f t="shared" si="0"/>
        <v>20.158745690161826</v>
      </c>
      <c r="M6" s="3">
        <f t="shared" si="0"/>
        <v>20.76350806086668</v>
      </c>
      <c r="N6" s="3">
        <f t="shared" si="0"/>
        <v>21.386413302692681</v>
      </c>
      <c r="O6" s="3">
        <f t="shared" si="0"/>
        <v>22.028005701773463</v>
      </c>
      <c r="P6" s="3">
        <f t="shared" si="0"/>
        <v>22.688845872826665</v>
      </c>
      <c r="Q6" s="3">
        <f t="shared" si="0"/>
        <v>23.369511249011463</v>
      </c>
      <c r="R6" s="3">
        <f t="shared" si="0"/>
        <v>24.070596586481805</v>
      </c>
      <c r="S6" s="3">
        <f t="shared" si="0"/>
        <v>24.79271448407626</v>
      </c>
      <c r="T6" s="3">
        <f t="shared" ref="T6:U10" si="1">S6*0.03+S6</f>
        <v>25.536495918598547</v>
      </c>
      <c r="U6" s="3">
        <f t="shared" si="1"/>
        <v>26.302590796156505</v>
      </c>
    </row>
    <row r="7" spans="1:21" ht="15.75" x14ac:dyDescent="0.25">
      <c r="A7" s="2" t="s">
        <v>3</v>
      </c>
      <c r="B7" s="3">
        <v>15</v>
      </c>
      <c r="C7" s="3">
        <f>B7*0.03+B7</f>
        <v>15.45</v>
      </c>
      <c r="D7" s="3">
        <f t="shared" si="0"/>
        <v>15.913499999999999</v>
      </c>
      <c r="E7" s="3">
        <f t="shared" si="0"/>
        <v>16.390905</v>
      </c>
      <c r="F7" s="3">
        <f t="shared" si="0"/>
        <v>16.882632149999999</v>
      </c>
      <c r="G7" s="3">
        <f t="shared" si="0"/>
        <v>17.3891111145</v>
      </c>
      <c r="H7" s="3">
        <f t="shared" si="0"/>
        <v>17.910784447935001</v>
      </c>
      <c r="I7" s="3">
        <f t="shared" si="0"/>
        <v>18.448107981373049</v>
      </c>
      <c r="J7" s="3">
        <f t="shared" si="0"/>
        <v>19.001551220814239</v>
      </c>
      <c r="K7" s="3">
        <f t="shared" si="0"/>
        <v>19.571597757438667</v>
      </c>
      <c r="L7" s="3">
        <f t="shared" si="0"/>
        <v>20.158745690161826</v>
      </c>
      <c r="M7" s="3">
        <f t="shared" si="0"/>
        <v>20.76350806086668</v>
      </c>
      <c r="N7" s="3">
        <f t="shared" si="0"/>
        <v>21.386413302692681</v>
      </c>
      <c r="O7" s="3">
        <f t="shared" si="0"/>
        <v>22.028005701773463</v>
      </c>
      <c r="P7" s="3">
        <f t="shared" si="0"/>
        <v>22.688845872826665</v>
      </c>
      <c r="Q7" s="3">
        <f t="shared" si="0"/>
        <v>23.369511249011463</v>
      </c>
      <c r="R7" s="3">
        <f t="shared" si="0"/>
        <v>24.070596586481805</v>
      </c>
      <c r="S7" s="3">
        <f t="shared" si="0"/>
        <v>24.79271448407626</v>
      </c>
      <c r="T7" s="3">
        <f t="shared" si="1"/>
        <v>25.536495918598547</v>
      </c>
      <c r="U7" s="3">
        <f t="shared" si="1"/>
        <v>26.302590796156505</v>
      </c>
    </row>
    <row r="8" spans="1:21" ht="15.75" x14ac:dyDescent="0.25">
      <c r="A8" s="2" t="s">
        <v>4</v>
      </c>
      <c r="B8" s="3">
        <v>16</v>
      </c>
      <c r="C8" s="3">
        <f>B8*0.03+B8</f>
        <v>16.48</v>
      </c>
      <c r="D8" s="3">
        <f t="shared" si="0"/>
        <v>16.974399999999999</v>
      </c>
      <c r="E8" s="3">
        <f t="shared" si="0"/>
        <v>17.483632</v>
      </c>
      <c r="F8" s="3">
        <f t="shared" si="0"/>
        <v>18.008140959999999</v>
      </c>
      <c r="G8" s="3">
        <f t="shared" si="0"/>
        <v>18.548385188799998</v>
      </c>
      <c r="H8" s="3">
        <f t="shared" si="0"/>
        <v>19.104836744463999</v>
      </c>
      <c r="I8" s="3">
        <f t="shared" si="0"/>
        <v>19.67798184679792</v>
      </c>
      <c r="J8" s="3">
        <f t="shared" si="0"/>
        <v>20.268321302201858</v>
      </c>
      <c r="K8" s="3">
        <f t="shared" si="0"/>
        <v>20.876370941267915</v>
      </c>
      <c r="L8" s="3">
        <f t="shared" si="0"/>
        <v>21.502662069505952</v>
      </c>
      <c r="M8" s="3">
        <f t="shared" si="0"/>
        <v>22.147741931591131</v>
      </c>
      <c r="N8" s="3">
        <f t="shared" si="0"/>
        <v>22.812174189538865</v>
      </c>
      <c r="O8" s="3">
        <f t="shared" si="0"/>
        <v>23.49653941522503</v>
      </c>
      <c r="P8" s="3">
        <f t="shared" si="0"/>
        <v>24.20143559768178</v>
      </c>
      <c r="Q8" s="3">
        <f t="shared" si="0"/>
        <v>24.927478665612234</v>
      </c>
      <c r="R8" s="3">
        <f t="shared" si="0"/>
        <v>25.6753030255806</v>
      </c>
      <c r="S8" s="3">
        <f t="shared" si="0"/>
        <v>26.445562116348018</v>
      </c>
      <c r="T8" s="3">
        <f t="shared" si="1"/>
        <v>27.238928979838459</v>
      </c>
      <c r="U8" s="3">
        <f t="shared" si="1"/>
        <v>28.056096849233612</v>
      </c>
    </row>
    <row r="9" spans="1:21" ht="15.75" x14ac:dyDescent="0.25">
      <c r="A9" s="2" t="s">
        <v>5</v>
      </c>
      <c r="B9" s="3">
        <v>17</v>
      </c>
      <c r="C9" s="3">
        <f>B9*0.03+B9</f>
        <v>17.510000000000002</v>
      </c>
      <c r="D9" s="3">
        <f t="shared" si="0"/>
        <v>18.035300000000003</v>
      </c>
      <c r="E9" s="3">
        <f t="shared" si="0"/>
        <v>18.576359000000004</v>
      </c>
      <c r="F9" s="3">
        <f t="shared" si="0"/>
        <v>19.133649770000005</v>
      </c>
      <c r="G9" s="3">
        <f t="shared" si="0"/>
        <v>19.707659263100005</v>
      </c>
      <c r="H9" s="3">
        <f t="shared" si="0"/>
        <v>20.298889040993007</v>
      </c>
      <c r="I9" s="3">
        <f t="shared" si="0"/>
        <v>20.907855712222798</v>
      </c>
      <c r="J9" s="3">
        <f t="shared" si="0"/>
        <v>21.535091383589481</v>
      </c>
      <c r="K9" s="3">
        <f t="shared" si="0"/>
        <v>22.181144125097166</v>
      </c>
      <c r="L9" s="3">
        <f t="shared" si="0"/>
        <v>22.846578448850082</v>
      </c>
      <c r="M9" s="3">
        <f t="shared" si="0"/>
        <v>23.531975802315586</v>
      </c>
      <c r="N9" s="3">
        <f t="shared" si="0"/>
        <v>24.237935076385053</v>
      </c>
      <c r="O9" s="3">
        <f t="shared" si="0"/>
        <v>24.965073128676604</v>
      </c>
      <c r="P9" s="3">
        <f t="shared" si="0"/>
        <v>25.714025322536902</v>
      </c>
      <c r="Q9" s="3">
        <f t="shared" si="0"/>
        <v>26.485446082213009</v>
      </c>
      <c r="R9" s="3">
        <f t="shared" si="0"/>
        <v>27.280009464679399</v>
      </c>
      <c r="S9" s="3">
        <f t="shared" si="0"/>
        <v>28.09840974861978</v>
      </c>
      <c r="T9" s="3">
        <f t="shared" si="1"/>
        <v>28.941362041078374</v>
      </c>
      <c r="U9" s="3">
        <f t="shared" si="1"/>
        <v>29.809602902310726</v>
      </c>
    </row>
    <row r="10" spans="1:21" ht="15.75" x14ac:dyDescent="0.25">
      <c r="A10" s="2" t="s">
        <v>6</v>
      </c>
      <c r="B10" s="3">
        <v>18</v>
      </c>
      <c r="C10" s="3">
        <f>B10*0.03+B10</f>
        <v>18.54</v>
      </c>
      <c r="D10" s="3">
        <f t="shared" si="0"/>
        <v>19.0962</v>
      </c>
      <c r="E10" s="3">
        <f t="shared" si="0"/>
        <v>19.669086</v>
      </c>
      <c r="F10" s="3">
        <f t="shared" si="0"/>
        <v>20.259158580000001</v>
      </c>
      <c r="G10" s="3">
        <f t="shared" si="0"/>
        <v>20.866933337400003</v>
      </c>
      <c r="H10" s="3">
        <f t="shared" si="0"/>
        <v>21.492941337522002</v>
      </c>
      <c r="I10" s="3">
        <f t="shared" si="0"/>
        <v>22.137729577647661</v>
      </c>
      <c r="J10" s="3">
        <f t="shared" si="0"/>
        <v>22.80186146497709</v>
      </c>
      <c r="K10" s="3">
        <f t="shared" si="0"/>
        <v>23.485917308926403</v>
      </c>
      <c r="L10" s="3">
        <f t="shared" si="0"/>
        <v>24.190494828194197</v>
      </c>
      <c r="M10" s="3">
        <f t="shared" si="0"/>
        <v>24.916209673040022</v>
      </c>
      <c r="N10" s="3">
        <f t="shared" si="0"/>
        <v>25.663695963231223</v>
      </c>
      <c r="O10" s="3">
        <f t="shared" si="0"/>
        <v>26.43360684212816</v>
      </c>
      <c r="P10" s="3">
        <f t="shared" si="0"/>
        <v>27.226615047392006</v>
      </c>
      <c r="Q10" s="3">
        <f t="shared" si="0"/>
        <v>28.043413498813766</v>
      </c>
      <c r="R10" s="3">
        <f t="shared" si="0"/>
        <v>28.884715903778179</v>
      </c>
      <c r="S10" s="3">
        <f t="shared" si="0"/>
        <v>29.751257380891523</v>
      </c>
      <c r="T10" s="3">
        <f t="shared" si="1"/>
        <v>30.643795102318268</v>
      </c>
      <c r="U10" s="3">
        <f t="shared" si="1"/>
        <v>31.563108955387815</v>
      </c>
    </row>
    <row r="12" spans="1:21" x14ac:dyDescent="0.25">
      <c r="A12" s="1" t="s">
        <v>1</v>
      </c>
    </row>
    <row r="13" spans="1:21" x14ac:dyDescent="0.25">
      <c r="A13" s="1" t="s">
        <v>2</v>
      </c>
      <c r="B13" s="1" t="s">
        <v>7</v>
      </c>
    </row>
    <row r="14" spans="1:21" x14ac:dyDescent="0.25">
      <c r="A14" s="1" t="s">
        <v>3</v>
      </c>
      <c r="B14" s="1" t="s">
        <v>8</v>
      </c>
    </row>
    <row r="15" spans="1:21" x14ac:dyDescent="0.25">
      <c r="A15" s="1" t="s">
        <v>4</v>
      </c>
      <c r="B15" s="1" t="s">
        <v>9</v>
      </c>
    </row>
    <row r="16" spans="1:21" x14ac:dyDescent="0.25">
      <c r="A16" s="1" t="s">
        <v>5</v>
      </c>
      <c r="B16" s="1" t="s">
        <v>10</v>
      </c>
    </row>
    <row r="17" spans="1:21" x14ac:dyDescent="0.25">
      <c r="A17" s="1" t="s">
        <v>6</v>
      </c>
      <c r="B17" s="1" t="s">
        <v>11</v>
      </c>
    </row>
    <row r="19" spans="1:21" x14ac:dyDescent="0.25">
      <c r="B19" s="1" t="s">
        <v>40</v>
      </c>
      <c r="E19" s="26"/>
    </row>
    <row r="21" spans="1:21" x14ac:dyDescent="0.25">
      <c r="B21" s="1" t="s">
        <v>41</v>
      </c>
    </row>
    <row r="22" spans="1:21" x14ac:dyDescent="0.25">
      <c r="B22" s="1" t="s">
        <v>48</v>
      </c>
    </row>
    <row r="23" spans="1:21" x14ac:dyDescent="0.25"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x14ac:dyDescent="0.25"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x14ac:dyDescent="0.25">
      <c r="I25" s="19"/>
      <c r="J25" s="19"/>
      <c r="K25" s="19"/>
      <c r="L25" s="20"/>
      <c r="M25" s="21"/>
      <c r="N25" s="20"/>
      <c r="O25" s="19"/>
      <c r="P25" s="20"/>
      <c r="Q25" s="20"/>
      <c r="R25" s="20"/>
      <c r="S25" s="19"/>
      <c r="T25" s="19"/>
      <c r="U25" s="19"/>
    </row>
    <row r="26" spans="1:21" x14ac:dyDescent="0.25">
      <c r="A26" s="16"/>
      <c r="B26" s="16"/>
      <c r="C26" s="16"/>
      <c r="G26" s="7"/>
      <c r="H26" s="9"/>
      <c r="I26" s="20"/>
      <c r="J26" s="19"/>
      <c r="K26" s="19"/>
      <c r="L26" s="20"/>
      <c r="M26" s="21"/>
      <c r="N26" s="20"/>
      <c r="O26" s="19"/>
      <c r="P26" s="20"/>
      <c r="Q26" s="20"/>
      <c r="R26" s="20"/>
      <c r="S26" s="19"/>
      <c r="T26" s="19"/>
      <c r="U26" s="19"/>
    </row>
    <row r="27" spans="1:21" ht="15.75" x14ac:dyDescent="0.25">
      <c r="A27" s="16"/>
      <c r="B27" s="17"/>
      <c r="C27" s="16"/>
      <c r="G27" s="7"/>
      <c r="H27" s="9"/>
      <c r="I27" s="20"/>
      <c r="J27" s="19"/>
      <c r="K27" s="19"/>
      <c r="L27" s="20"/>
      <c r="M27" s="21"/>
      <c r="N27" s="20"/>
      <c r="O27" s="19"/>
      <c r="P27" s="20"/>
      <c r="Q27" s="20"/>
      <c r="R27" s="20"/>
      <c r="S27" s="19"/>
      <c r="T27" s="19"/>
      <c r="U27" s="19"/>
    </row>
    <row r="28" spans="1:21" ht="15.75" x14ac:dyDescent="0.25">
      <c r="A28" s="16"/>
      <c r="B28" s="17"/>
      <c r="C28" s="16"/>
      <c r="G28" s="7"/>
      <c r="H28" s="9"/>
      <c r="I28" s="20"/>
      <c r="J28" s="19"/>
      <c r="K28" s="19"/>
      <c r="L28" s="20"/>
      <c r="M28" s="21"/>
      <c r="N28" s="20"/>
      <c r="O28" s="19"/>
      <c r="P28" s="20"/>
      <c r="Q28" s="20"/>
      <c r="R28" s="20"/>
      <c r="S28" s="19"/>
      <c r="T28" s="19"/>
      <c r="U28" s="19"/>
    </row>
    <row r="29" spans="1:21" ht="15.75" x14ac:dyDescent="0.25">
      <c r="A29" s="16"/>
      <c r="B29" s="17"/>
      <c r="C29" s="16"/>
      <c r="G29" s="7"/>
      <c r="H29" s="9"/>
      <c r="I29" s="20"/>
      <c r="J29" s="19"/>
      <c r="K29" s="19"/>
      <c r="L29" s="20"/>
      <c r="M29" s="21"/>
      <c r="N29" s="20"/>
      <c r="O29" s="19"/>
      <c r="P29" s="20"/>
      <c r="Q29" s="21"/>
      <c r="R29" s="20"/>
      <c r="S29" s="19"/>
      <c r="T29" s="19"/>
      <c r="U29" s="19"/>
    </row>
    <row r="30" spans="1:21" ht="15.75" x14ac:dyDescent="0.25">
      <c r="A30" s="16"/>
      <c r="B30" s="17"/>
      <c r="C30" s="16"/>
      <c r="G30" s="7"/>
      <c r="H30" s="9"/>
      <c r="I30" s="20"/>
      <c r="J30" s="19"/>
      <c r="K30" s="19"/>
      <c r="L30" s="20"/>
      <c r="M30" s="21"/>
      <c r="N30" s="20"/>
      <c r="O30" s="19"/>
      <c r="P30" s="20"/>
      <c r="Q30" s="20"/>
      <c r="R30" s="20"/>
      <c r="S30" s="19"/>
      <c r="T30" s="19"/>
      <c r="U30" s="19"/>
    </row>
    <row r="31" spans="1:21" ht="15.75" x14ac:dyDescent="0.25">
      <c r="A31" s="16"/>
      <c r="B31" s="17"/>
      <c r="C31" s="16"/>
      <c r="G31" s="7"/>
      <c r="H31" s="9"/>
      <c r="I31" s="20"/>
      <c r="J31" s="19"/>
      <c r="K31" s="19"/>
      <c r="L31" s="20"/>
      <c r="M31" s="21"/>
      <c r="N31" s="20"/>
      <c r="O31" s="19"/>
      <c r="P31" s="20"/>
      <c r="Q31" s="21"/>
      <c r="R31" s="20"/>
      <c r="S31" s="19"/>
      <c r="T31" s="19"/>
      <c r="U31" s="19"/>
    </row>
    <row r="32" spans="1:21" x14ac:dyDescent="0.25">
      <c r="A32" s="16"/>
      <c r="B32" s="16"/>
      <c r="C32" s="16"/>
      <c r="G32" s="7"/>
      <c r="H32" s="9"/>
      <c r="I32" s="20"/>
      <c r="J32" s="19"/>
      <c r="K32" s="19"/>
      <c r="L32" s="20"/>
      <c r="M32" s="21"/>
      <c r="N32" s="20"/>
      <c r="O32" s="19"/>
      <c r="P32" s="20"/>
      <c r="Q32" s="20"/>
      <c r="R32" s="20"/>
      <c r="S32" s="19"/>
      <c r="T32" s="19"/>
      <c r="U32" s="19"/>
    </row>
    <row r="33" spans="7:21" x14ac:dyDescent="0.25">
      <c r="G33" s="7"/>
      <c r="H33" s="9"/>
      <c r="I33" s="20"/>
      <c r="J33" s="19"/>
      <c r="K33" s="19"/>
      <c r="L33" s="20"/>
      <c r="M33" s="21"/>
      <c r="N33" s="20"/>
      <c r="O33" s="19"/>
      <c r="P33" s="20"/>
      <c r="Q33" s="20"/>
      <c r="R33" s="20"/>
      <c r="S33" s="19"/>
      <c r="T33" s="19"/>
      <c r="U33" s="19"/>
    </row>
    <row r="34" spans="7:21" x14ac:dyDescent="0.25">
      <c r="G34" s="7"/>
      <c r="H34" s="9"/>
      <c r="I34" s="20"/>
      <c r="J34" s="19"/>
      <c r="K34" s="19"/>
      <c r="L34" s="20"/>
      <c r="M34" s="21"/>
      <c r="N34" s="20"/>
      <c r="O34" s="19"/>
      <c r="P34" s="20"/>
      <c r="Q34" s="20"/>
      <c r="R34" s="20"/>
      <c r="S34" s="19"/>
      <c r="T34" s="19"/>
      <c r="U34" s="19"/>
    </row>
    <row r="35" spans="7:21" x14ac:dyDescent="0.25">
      <c r="G35" s="7"/>
      <c r="H35" s="9"/>
      <c r="I35" s="20"/>
      <c r="J35" s="19"/>
      <c r="K35" s="19"/>
      <c r="L35" s="20"/>
      <c r="M35" s="21"/>
      <c r="N35" s="20"/>
      <c r="O35" s="19"/>
      <c r="P35" s="20"/>
      <c r="Q35" s="20"/>
      <c r="R35" s="20"/>
      <c r="S35" s="19"/>
      <c r="T35" s="19"/>
      <c r="U35" s="19"/>
    </row>
    <row r="36" spans="7:21" x14ac:dyDescent="0.25">
      <c r="G36" s="7"/>
      <c r="H36" s="9"/>
      <c r="I36" s="20"/>
      <c r="J36" s="19"/>
      <c r="K36" s="19"/>
      <c r="L36" s="20"/>
      <c r="M36" s="20"/>
      <c r="N36" s="20"/>
      <c r="O36" s="19"/>
      <c r="P36" s="20"/>
      <c r="Q36" s="20"/>
      <c r="R36" s="20"/>
      <c r="S36" s="19"/>
      <c r="T36" s="19"/>
      <c r="U36" s="19"/>
    </row>
    <row r="37" spans="7:21" x14ac:dyDescent="0.25">
      <c r="G37" s="7"/>
      <c r="H37" s="7"/>
      <c r="I37" s="20"/>
      <c r="J37" s="19"/>
      <c r="K37" s="19"/>
      <c r="L37" s="22"/>
      <c r="M37" s="20"/>
      <c r="N37" s="20"/>
      <c r="O37" s="19"/>
      <c r="P37" s="20"/>
      <c r="Q37" s="20"/>
      <c r="R37" s="20"/>
      <c r="S37" s="19"/>
      <c r="T37" s="19"/>
      <c r="U37" s="19"/>
    </row>
    <row r="38" spans="7:21" x14ac:dyDescent="0.25">
      <c r="G38" s="10"/>
      <c r="H38" s="7"/>
      <c r="I38" s="20"/>
      <c r="J38" s="19"/>
      <c r="K38" s="19"/>
      <c r="L38" s="20"/>
      <c r="M38" s="20"/>
      <c r="N38" s="20"/>
      <c r="O38" s="19"/>
      <c r="P38" s="19"/>
      <c r="Q38" s="19"/>
      <c r="R38" s="23"/>
      <c r="S38" s="19"/>
      <c r="T38" s="19"/>
      <c r="U38" s="19"/>
    </row>
    <row r="39" spans="7:21" x14ac:dyDescent="0.25">
      <c r="G39" s="7"/>
      <c r="H39" s="7"/>
      <c r="I39" s="20"/>
      <c r="J39" s="19"/>
      <c r="K39" s="19"/>
      <c r="L39" s="19"/>
      <c r="M39" s="23"/>
      <c r="N39" s="19"/>
      <c r="O39" s="19"/>
      <c r="P39" s="19"/>
      <c r="Q39" s="19"/>
      <c r="R39" s="19"/>
      <c r="S39" s="19"/>
      <c r="T39" s="19"/>
      <c r="U39" s="19"/>
    </row>
  </sheetData>
  <mergeCells count="2">
    <mergeCell ref="A1:U1"/>
    <mergeCell ref="A2:U2"/>
  </mergeCells>
  <pageMargins left="0.7" right="0.7" top="0.75" bottom="0.75" header="0.3" footer="0.3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F43" sqref="F43"/>
    </sheetView>
  </sheetViews>
  <sheetFormatPr defaultRowHeight="15" x14ac:dyDescent="0.25"/>
  <cols>
    <col min="1" max="1" width="19.140625" bestFit="1" customWidth="1"/>
    <col min="3" max="3" width="10.28515625" bestFit="1" customWidth="1"/>
    <col min="4" max="4" width="11.28515625" bestFit="1" customWidth="1"/>
  </cols>
  <sheetData>
    <row r="1" spans="1:6" x14ac:dyDescent="0.25">
      <c r="A1" t="s">
        <v>85</v>
      </c>
      <c r="B1" t="s">
        <v>82</v>
      </c>
    </row>
    <row r="2" spans="1:6" x14ac:dyDescent="0.25">
      <c r="A2" t="s">
        <v>78</v>
      </c>
    </row>
    <row r="3" spans="1:6" x14ac:dyDescent="0.25">
      <c r="A3" t="s">
        <v>81</v>
      </c>
    </row>
    <row r="4" spans="1:6" x14ac:dyDescent="0.25">
      <c r="A4" t="s">
        <v>83</v>
      </c>
      <c r="B4" s="38">
        <v>19.059999999999999</v>
      </c>
      <c r="F4" t="s">
        <v>87</v>
      </c>
    </row>
    <row r="5" spans="1:6" x14ac:dyDescent="0.25">
      <c r="A5" s="37" t="s">
        <v>86</v>
      </c>
      <c r="B5" t="s">
        <v>76</v>
      </c>
      <c r="C5" t="s">
        <v>77</v>
      </c>
      <c r="D5" t="s">
        <v>75</v>
      </c>
      <c r="E5" t="s">
        <v>34</v>
      </c>
    </row>
    <row r="6" spans="1:6" x14ac:dyDescent="0.25">
      <c r="A6" s="36">
        <v>44845</v>
      </c>
      <c r="B6" t="s">
        <v>74</v>
      </c>
      <c r="C6">
        <v>5.5</v>
      </c>
      <c r="D6">
        <v>-0.5</v>
      </c>
      <c r="E6">
        <f>SUM(C6:D6)</f>
        <v>5</v>
      </c>
    </row>
    <row r="7" spans="1:6" x14ac:dyDescent="0.25">
      <c r="A7" s="36">
        <v>44846</v>
      </c>
      <c r="B7" t="s">
        <v>79</v>
      </c>
      <c r="C7">
        <v>7.5</v>
      </c>
      <c r="D7">
        <v>-0.5</v>
      </c>
      <c r="E7">
        <f>SUM(C7:D7)</f>
        <v>7</v>
      </c>
    </row>
    <row r="8" spans="1:6" x14ac:dyDescent="0.25">
      <c r="A8" s="36">
        <v>44865</v>
      </c>
      <c r="B8" t="s">
        <v>80</v>
      </c>
      <c r="C8">
        <v>7.25</v>
      </c>
      <c r="D8">
        <v>-0.5</v>
      </c>
      <c r="E8">
        <f>SUM(C8:D8)</f>
        <v>6.75</v>
      </c>
    </row>
    <row r="9" spans="1:6" x14ac:dyDescent="0.25">
      <c r="E9">
        <f>SUM(E6:E8)</f>
        <v>18.75</v>
      </c>
    </row>
    <row r="11" spans="1:6" x14ac:dyDescent="0.25">
      <c r="B11" t="s">
        <v>84</v>
      </c>
    </row>
    <row r="12" spans="1:6" x14ac:dyDescent="0.25">
      <c r="A12" s="36"/>
    </row>
    <row r="13" spans="1:6" x14ac:dyDescent="0.25">
      <c r="A13" s="36"/>
    </row>
    <row r="14" spans="1:6" x14ac:dyDescent="0.25">
      <c r="A14" s="36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A2" sqref="A2:H18"/>
    </sheetView>
  </sheetViews>
  <sheetFormatPr defaultRowHeight="15" x14ac:dyDescent="0.25"/>
  <cols>
    <col min="8" max="8" width="11" bestFit="1" customWidth="1"/>
  </cols>
  <sheetData>
    <row r="1" spans="1:8" x14ac:dyDescent="0.25">
      <c r="D1" s="35"/>
    </row>
    <row r="2" spans="1:8" x14ac:dyDescent="0.25">
      <c r="A2" t="s">
        <v>44</v>
      </c>
    </row>
    <row r="3" spans="1:8" x14ac:dyDescent="0.25">
      <c r="A3" t="s">
        <v>37</v>
      </c>
    </row>
    <row r="4" spans="1:8" x14ac:dyDescent="0.25">
      <c r="D4" s="12">
        <v>6.2E-2</v>
      </c>
      <c r="E4" s="12">
        <v>5.0000000000000001E-3</v>
      </c>
      <c r="F4" s="12">
        <v>3.1870000000000002E-2</v>
      </c>
    </row>
    <row r="5" spans="1:8" ht="30" x14ac:dyDescent="0.25">
      <c r="A5" s="1" t="s">
        <v>15</v>
      </c>
      <c r="C5" s="15" t="s">
        <v>35</v>
      </c>
      <c r="D5" t="s">
        <v>31</v>
      </c>
      <c r="E5" t="s">
        <v>32</v>
      </c>
      <c r="F5" t="s">
        <v>33</v>
      </c>
      <c r="G5" t="s">
        <v>34</v>
      </c>
    </row>
    <row r="6" spans="1:8" x14ac:dyDescent="0.25">
      <c r="A6" s="1" t="s">
        <v>18</v>
      </c>
      <c r="C6" s="13">
        <v>1000</v>
      </c>
      <c r="D6" s="14">
        <f>C6*D4</f>
        <v>62</v>
      </c>
      <c r="E6" s="14">
        <f>C6*E4</f>
        <v>5</v>
      </c>
      <c r="F6" s="14">
        <f>C6*F4</f>
        <v>31.87</v>
      </c>
      <c r="G6" s="13">
        <f t="shared" ref="G6:G14" si="0">SUM(C6:F6)</f>
        <v>1098.8699999999999</v>
      </c>
    </row>
    <row r="7" spans="1:8" x14ac:dyDescent="0.25">
      <c r="A7" s="1" t="s">
        <v>20</v>
      </c>
      <c r="C7" s="13">
        <v>1000</v>
      </c>
      <c r="D7" s="14">
        <f>C7*D4</f>
        <v>62</v>
      </c>
      <c r="E7" s="14">
        <f>C7*E4</f>
        <v>5</v>
      </c>
      <c r="F7" s="14">
        <f>C7*F4</f>
        <v>31.87</v>
      </c>
      <c r="G7" s="13">
        <f t="shared" si="0"/>
        <v>1098.8699999999999</v>
      </c>
    </row>
    <row r="8" spans="1:8" x14ac:dyDescent="0.25">
      <c r="A8" s="1" t="s">
        <v>28</v>
      </c>
      <c r="C8" s="13">
        <v>1000</v>
      </c>
      <c r="D8" s="14">
        <f>C8*D4</f>
        <v>62</v>
      </c>
      <c r="E8" s="14">
        <f>C8*E4</f>
        <v>5</v>
      </c>
      <c r="F8" s="14">
        <f>C8*F4</f>
        <v>31.87</v>
      </c>
      <c r="G8" s="13">
        <f t="shared" si="0"/>
        <v>1098.8699999999999</v>
      </c>
    </row>
    <row r="9" spans="1:8" x14ac:dyDescent="0.25">
      <c r="A9" s="1" t="s">
        <v>38</v>
      </c>
      <c r="C9" s="13">
        <v>1000</v>
      </c>
      <c r="D9" s="14">
        <f>C9*D4</f>
        <v>62</v>
      </c>
      <c r="E9" s="14">
        <f>C9*E4</f>
        <v>5</v>
      </c>
      <c r="F9" s="14">
        <f>F4*C9</f>
        <v>31.87</v>
      </c>
      <c r="G9" s="13">
        <f>SUM(C9:F9)</f>
        <v>1098.8699999999999</v>
      </c>
    </row>
    <row r="10" spans="1:8" x14ac:dyDescent="0.25">
      <c r="A10" s="1" t="s">
        <v>21</v>
      </c>
      <c r="C10" s="13">
        <v>1000</v>
      </c>
      <c r="D10" s="14">
        <f>C10*D4</f>
        <v>62</v>
      </c>
      <c r="E10" s="14">
        <f>C10*E4</f>
        <v>5</v>
      </c>
      <c r="F10" s="14">
        <f>C10*F4</f>
        <v>31.87</v>
      </c>
      <c r="G10" s="13">
        <f t="shared" si="0"/>
        <v>1098.8699999999999</v>
      </c>
    </row>
    <row r="11" spans="1:8" x14ac:dyDescent="0.25">
      <c r="A11" s="1" t="s">
        <v>22</v>
      </c>
      <c r="C11" s="13">
        <v>1000</v>
      </c>
      <c r="D11" s="14">
        <f>C11*D4</f>
        <v>62</v>
      </c>
      <c r="E11" s="14">
        <f>C11*E4</f>
        <v>5</v>
      </c>
      <c r="F11" s="14">
        <f>C11*F4</f>
        <v>31.87</v>
      </c>
      <c r="G11" s="13">
        <f t="shared" si="0"/>
        <v>1098.8699999999999</v>
      </c>
    </row>
    <row r="12" spans="1:8" x14ac:dyDescent="0.25">
      <c r="A12" s="1" t="s">
        <v>23</v>
      </c>
      <c r="C12" s="13">
        <v>1000</v>
      </c>
      <c r="D12" s="14">
        <f>C12*D4</f>
        <v>62</v>
      </c>
      <c r="E12" s="14">
        <f>C12*E4</f>
        <v>5</v>
      </c>
      <c r="F12" s="14">
        <f>C12*F4</f>
        <v>31.87</v>
      </c>
      <c r="G12" s="13">
        <f t="shared" si="0"/>
        <v>1098.8699999999999</v>
      </c>
    </row>
    <row r="13" spans="1:8" x14ac:dyDescent="0.25">
      <c r="A13" s="1" t="s">
        <v>24</v>
      </c>
      <c r="C13" s="13">
        <v>1000</v>
      </c>
      <c r="D13" s="14">
        <f>C13*D4</f>
        <v>62</v>
      </c>
      <c r="E13" s="14">
        <f>C13*E4</f>
        <v>5</v>
      </c>
      <c r="F13" s="14">
        <f>C13*F4</f>
        <v>31.87</v>
      </c>
      <c r="G13" s="13">
        <f t="shared" si="0"/>
        <v>1098.8699999999999</v>
      </c>
    </row>
    <row r="14" spans="1:8" x14ac:dyDescent="0.25">
      <c r="A14" s="1" t="s">
        <v>25</v>
      </c>
      <c r="C14" s="13">
        <v>1000</v>
      </c>
      <c r="D14" s="14">
        <f>C14*D4</f>
        <v>62</v>
      </c>
      <c r="E14" s="14">
        <f>C14*E4</f>
        <v>5</v>
      </c>
      <c r="F14" s="14">
        <f>C14*F4</f>
        <v>31.87</v>
      </c>
      <c r="G14" s="13">
        <f t="shared" si="0"/>
        <v>1098.8699999999999</v>
      </c>
    </row>
    <row r="15" spans="1:8" x14ac:dyDescent="0.25">
      <c r="C15" s="13">
        <f>SUM(C6:C14)</f>
        <v>9000</v>
      </c>
      <c r="G15" s="13">
        <f>SUM(G6:G14)</f>
        <v>9889.8299999999981</v>
      </c>
      <c r="H15" s="25">
        <f>G15-C15</f>
        <v>889.82999999999811</v>
      </c>
    </row>
    <row r="16" spans="1:8" x14ac:dyDescent="0.25">
      <c r="C16" s="24" t="s">
        <v>43</v>
      </c>
      <c r="H16" t="s">
        <v>42</v>
      </c>
    </row>
    <row r="18" spans="1:1" x14ac:dyDescent="0.25">
      <c r="A18" t="s">
        <v>66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>
      <selection activeCell="H36" sqref="H36"/>
    </sheetView>
  </sheetViews>
  <sheetFormatPr defaultRowHeight="15" x14ac:dyDescent="0.25"/>
  <cols>
    <col min="1" max="2" width="9.140625" style="1"/>
    <col min="3" max="3" width="10.7109375" style="1" bestFit="1" customWidth="1"/>
    <col min="4" max="4" width="12" style="1" bestFit="1" customWidth="1"/>
    <col min="5" max="5" width="9.7109375" style="1" bestFit="1" customWidth="1"/>
    <col min="6" max="6" width="9.140625" style="1"/>
    <col min="7" max="7" width="9.85546875" style="1" customWidth="1"/>
    <col min="8" max="8" width="13.140625" style="1" customWidth="1"/>
    <col min="9" max="9" width="12.42578125" style="1" bestFit="1" customWidth="1"/>
    <col min="10" max="10" width="12.140625" style="1" bestFit="1" customWidth="1"/>
    <col min="11" max="11" width="9.140625" style="1"/>
    <col min="12" max="12" width="8.42578125" style="1" customWidth="1"/>
    <col min="13" max="16384" width="9.140625" style="1"/>
  </cols>
  <sheetData>
    <row r="1" spans="1:21" ht="18.75" x14ac:dyDescent="0.3">
      <c r="A1" s="71" t="s">
        <v>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18.75" x14ac:dyDescent="0.3">
      <c r="A2" s="71" t="s">
        <v>45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.75" x14ac:dyDescent="0.25">
      <c r="A4" s="1" t="s">
        <v>0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4">
        <v>20</v>
      </c>
    </row>
    <row r="5" spans="1:21" ht="15.75" x14ac:dyDescent="0.25">
      <c r="A5" s="1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.75" x14ac:dyDescent="0.25">
      <c r="A6" s="2" t="s">
        <v>2</v>
      </c>
      <c r="B6" s="3">
        <v>15.75</v>
      </c>
      <c r="C6" s="3">
        <f>B6*0.03+B6</f>
        <v>16.2225</v>
      </c>
      <c r="D6" s="3">
        <f t="shared" ref="D6:U6" si="0">C6*0.03+C6</f>
        <v>16.709175000000002</v>
      </c>
      <c r="E6" s="3">
        <f t="shared" si="0"/>
        <v>17.210450250000001</v>
      </c>
      <c r="F6" s="3">
        <f t="shared" si="0"/>
        <v>17.726763757500002</v>
      </c>
      <c r="G6" s="3">
        <f t="shared" si="0"/>
        <v>18.258566670225001</v>
      </c>
      <c r="H6" s="3">
        <f t="shared" si="0"/>
        <v>18.80632367033175</v>
      </c>
      <c r="I6" s="3">
        <f t="shared" si="0"/>
        <v>19.370513380441704</v>
      </c>
      <c r="J6" s="3">
        <f t="shared" si="0"/>
        <v>19.951628781854954</v>
      </c>
      <c r="K6" s="3">
        <f t="shared" si="0"/>
        <v>20.550177645310601</v>
      </c>
      <c r="L6" s="3">
        <f t="shared" si="0"/>
        <v>21.166682974669918</v>
      </c>
      <c r="M6" s="3">
        <f t="shared" si="0"/>
        <v>21.801683463910017</v>
      </c>
      <c r="N6" s="3">
        <f t="shared" si="0"/>
        <v>22.455733967827317</v>
      </c>
      <c r="O6" s="3">
        <f t="shared" si="0"/>
        <v>23.129405986862135</v>
      </c>
      <c r="P6" s="3">
        <f t="shared" si="0"/>
        <v>23.823288166468</v>
      </c>
      <c r="Q6" s="3">
        <f t="shared" si="0"/>
        <v>24.537986811462041</v>
      </c>
      <c r="R6" s="3">
        <f t="shared" si="0"/>
        <v>25.274126415805902</v>
      </c>
      <c r="S6" s="3">
        <f t="shared" si="0"/>
        <v>26.032350208280079</v>
      </c>
      <c r="T6" s="3">
        <f t="shared" si="0"/>
        <v>26.81332071452848</v>
      </c>
      <c r="U6" s="3">
        <f t="shared" si="0"/>
        <v>27.617720335964336</v>
      </c>
    </row>
    <row r="7" spans="1:21" ht="15.75" x14ac:dyDescent="0.25">
      <c r="A7" s="2" t="s">
        <v>3</v>
      </c>
      <c r="B7" s="3">
        <v>16.62</v>
      </c>
      <c r="C7" s="3">
        <f>B7*0.03+B7</f>
        <v>17.118600000000001</v>
      </c>
      <c r="D7" s="3">
        <f t="shared" ref="D7:U7" si="1">C7*0.03+C7</f>
        <v>17.632158</v>
      </c>
      <c r="E7" s="3">
        <f t="shared" si="1"/>
        <v>18.16112274</v>
      </c>
      <c r="F7" s="3">
        <f t="shared" si="1"/>
        <v>18.7059564222</v>
      </c>
      <c r="G7" s="3">
        <f t="shared" si="1"/>
        <v>19.267135114866001</v>
      </c>
      <c r="H7" s="3">
        <f t="shared" si="1"/>
        <v>19.845149168311981</v>
      </c>
      <c r="I7" s="3">
        <f t="shared" si="1"/>
        <v>20.440503643361339</v>
      </c>
      <c r="J7" s="3">
        <f t="shared" si="1"/>
        <v>21.053718752662178</v>
      </c>
      <c r="K7" s="3">
        <f t="shared" si="1"/>
        <v>21.685330315242044</v>
      </c>
      <c r="L7" s="3">
        <f t="shared" si="1"/>
        <v>22.335890224699305</v>
      </c>
      <c r="M7" s="3">
        <f t="shared" si="1"/>
        <v>23.005966931440284</v>
      </c>
      <c r="N7" s="3">
        <f t="shared" si="1"/>
        <v>23.696145939383491</v>
      </c>
      <c r="O7" s="3">
        <f t="shared" si="1"/>
        <v>24.407030317564995</v>
      </c>
      <c r="P7" s="3">
        <f t="shared" si="1"/>
        <v>25.139241227091944</v>
      </c>
      <c r="Q7" s="3">
        <f t="shared" si="1"/>
        <v>25.893418463904702</v>
      </c>
      <c r="R7" s="3">
        <f t="shared" si="1"/>
        <v>26.670221017821842</v>
      </c>
      <c r="S7" s="3">
        <f t="shared" si="1"/>
        <v>27.470327648356498</v>
      </c>
      <c r="T7" s="3">
        <f t="shared" si="1"/>
        <v>28.294437477807193</v>
      </c>
      <c r="U7" s="3">
        <f t="shared" si="1"/>
        <v>29.14327060214141</v>
      </c>
    </row>
    <row r="8" spans="1:21" ht="15.75" x14ac:dyDescent="0.25">
      <c r="A8" s="2" t="s">
        <v>4</v>
      </c>
      <c r="B8" s="3">
        <v>17.53</v>
      </c>
      <c r="C8" s="3">
        <f>B8*0.03+B8</f>
        <v>18.055900000000001</v>
      </c>
      <c r="D8" s="3">
        <f t="shared" ref="D8:U8" si="2">C8*0.03+C8</f>
        <v>18.597577000000001</v>
      </c>
      <c r="E8" s="3">
        <f t="shared" si="2"/>
        <v>19.155504310000001</v>
      </c>
      <c r="F8" s="3">
        <f t="shared" si="2"/>
        <v>19.730169439300003</v>
      </c>
      <c r="G8" s="3">
        <f t="shared" si="2"/>
        <v>20.322074522479003</v>
      </c>
      <c r="H8" s="3">
        <f t="shared" si="2"/>
        <v>20.931736758153374</v>
      </c>
      <c r="I8" s="3">
        <f t="shared" si="2"/>
        <v>21.559688860897975</v>
      </c>
      <c r="J8" s="3">
        <f t="shared" si="2"/>
        <v>22.206479526724912</v>
      </c>
      <c r="K8" s="3">
        <f t="shared" si="2"/>
        <v>22.872673912526661</v>
      </c>
      <c r="L8" s="3">
        <f t="shared" si="2"/>
        <v>23.558854129902461</v>
      </c>
      <c r="M8" s="3">
        <f t="shared" si="2"/>
        <v>24.265619753799534</v>
      </c>
      <c r="N8" s="3">
        <f t="shared" si="2"/>
        <v>24.993588346413521</v>
      </c>
      <c r="O8" s="3">
        <f t="shared" si="2"/>
        <v>25.743395996805926</v>
      </c>
      <c r="P8" s="3">
        <f t="shared" si="2"/>
        <v>26.515697876710103</v>
      </c>
      <c r="Q8" s="3">
        <f t="shared" si="2"/>
        <v>27.311168813011406</v>
      </c>
      <c r="R8" s="3">
        <f t="shared" si="2"/>
        <v>28.130503877401747</v>
      </c>
      <c r="S8" s="3">
        <f t="shared" si="2"/>
        <v>28.974418993723798</v>
      </c>
      <c r="T8" s="3">
        <f t="shared" si="2"/>
        <v>29.843651563535513</v>
      </c>
      <c r="U8" s="3">
        <f t="shared" si="2"/>
        <v>30.738961110441579</v>
      </c>
    </row>
    <row r="9" spans="1:21" ht="15.75" x14ac:dyDescent="0.25">
      <c r="A9" s="2" t="s">
        <v>5</v>
      </c>
      <c r="B9" s="3">
        <v>18.5</v>
      </c>
      <c r="C9" s="3">
        <f>B9*0.03+B9</f>
        <v>19.055</v>
      </c>
      <c r="D9" s="3">
        <f t="shared" ref="D9:U9" si="3">C9*0.03+C9</f>
        <v>19.626649999999998</v>
      </c>
      <c r="E9" s="3">
        <f t="shared" si="3"/>
        <v>20.215449499999998</v>
      </c>
      <c r="F9" s="3">
        <f t="shared" si="3"/>
        <v>20.821912984999997</v>
      </c>
      <c r="G9" s="3">
        <f t="shared" si="3"/>
        <v>21.446570374549996</v>
      </c>
      <c r="H9" s="3">
        <f t="shared" si="3"/>
        <v>22.089967485786495</v>
      </c>
      <c r="I9" s="3">
        <f t="shared" si="3"/>
        <v>22.75266651036009</v>
      </c>
      <c r="J9" s="3">
        <f t="shared" si="3"/>
        <v>23.435246505670893</v>
      </c>
      <c r="K9" s="3">
        <f t="shared" si="3"/>
        <v>24.13830390084102</v>
      </c>
      <c r="L9" s="3">
        <f t="shared" si="3"/>
        <v>24.862453017866251</v>
      </c>
      <c r="M9" s="3">
        <f t="shared" si="3"/>
        <v>25.608326608402237</v>
      </c>
      <c r="N9" s="3">
        <f t="shared" si="3"/>
        <v>26.376576406654305</v>
      </c>
      <c r="O9" s="3">
        <f t="shared" si="3"/>
        <v>27.167873698853935</v>
      </c>
      <c r="P9" s="3">
        <f t="shared" si="3"/>
        <v>27.982909909819554</v>
      </c>
      <c r="Q9" s="3">
        <f t="shared" si="3"/>
        <v>28.82239720711414</v>
      </c>
      <c r="R9" s="3">
        <f t="shared" si="3"/>
        <v>29.687069123327564</v>
      </c>
      <c r="S9" s="3">
        <f t="shared" si="3"/>
        <v>30.577681197027392</v>
      </c>
      <c r="T9" s="3">
        <f t="shared" si="3"/>
        <v>31.495011632938212</v>
      </c>
      <c r="U9" s="3">
        <f t="shared" si="3"/>
        <v>32.439861981926356</v>
      </c>
    </row>
    <row r="10" spans="1:21" ht="15.75" x14ac:dyDescent="0.25">
      <c r="A10" s="2" t="s">
        <v>6</v>
      </c>
      <c r="B10" s="3">
        <v>19.52</v>
      </c>
      <c r="C10" s="3">
        <f>B10*0.03+B10</f>
        <v>20.105599999999999</v>
      </c>
      <c r="D10" s="3">
        <f t="shared" ref="D10:U10" si="4">C10*0.03+C10</f>
        <v>20.708767999999999</v>
      </c>
      <c r="E10" s="3">
        <f t="shared" si="4"/>
        <v>21.330031039999998</v>
      </c>
      <c r="F10" s="3">
        <f t="shared" si="4"/>
        <v>21.969931971199998</v>
      </c>
      <c r="G10" s="3">
        <f t="shared" si="4"/>
        <v>22.629029930335996</v>
      </c>
      <c r="H10" s="3">
        <f t="shared" si="4"/>
        <v>23.307900828246076</v>
      </c>
      <c r="I10" s="3">
        <f t="shared" si="4"/>
        <v>24.007137853093457</v>
      </c>
      <c r="J10" s="3">
        <f t="shared" si="4"/>
        <v>24.727351988686262</v>
      </c>
      <c r="K10" s="3">
        <f t="shared" si="4"/>
        <v>25.469172548346851</v>
      </c>
      <c r="L10" s="3">
        <f t="shared" si="4"/>
        <v>26.233247724797256</v>
      </c>
      <c r="M10" s="3">
        <f t="shared" si="4"/>
        <v>27.020245156541172</v>
      </c>
      <c r="N10" s="3">
        <f t="shared" si="4"/>
        <v>27.830852511237406</v>
      </c>
      <c r="O10" s="3">
        <f t="shared" si="4"/>
        <v>28.66577808657453</v>
      </c>
      <c r="P10" s="3">
        <f t="shared" si="4"/>
        <v>29.525751429171766</v>
      </c>
      <c r="Q10" s="3">
        <f t="shared" si="4"/>
        <v>30.411523972046918</v>
      </c>
      <c r="R10" s="3">
        <f t="shared" si="4"/>
        <v>31.323869691208326</v>
      </c>
      <c r="S10" s="3">
        <f t="shared" si="4"/>
        <v>32.263585781944577</v>
      </c>
      <c r="T10" s="3">
        <f t="shared" si="4"/>
        <v>33.231493355402918</v>
      </c>
      <c r="U10" s="3">
        <f t="shared" si="4"/>
        <v>34.228438156065003</v>
      </c>
    </row>
    <row r="12" spans="1:21" x14ac:dyDescent="0.25">
      <c r="A12" s="1" t="s">
        <v>1</v>
      </c>
    </row>
    <row r="13" spans="1:21" x14ac:dyDescent="0.25">
      <c r="A13" s="1" t="s">
        <v>2</v>
      </c>
      <c r="B13" s="1" t="s">
        <v>7</v>
      </c>
    </row>
    <row r="14" spans="1:21" x14ac:dyDescent="0.25">
      <c r="A14" s="1" t="s">
        <v>3</v>
      </c>
      <c r="B14" s="1" t="s">
        <v>8</v>
      </c>
    </row>
    <row r="15" spans="1:21" x14ac:dyDescent="0.25">
      <c r="A15" s="1" t="s">
        <v>4</v>
      </c>
      <c r="B15" s="1" t="s">
        <v>9</v>
      </c>
    </row>
    <row r="16" spans="1:21" x14ac:dyDescent="0.25">
      <c r="A16" s="1" t="s">
        <v>5</v>
      </c>
      <c r="B16" s="1" t="s">
        <v>10</v>
      </c>
    </row>
    <row r="17" spans="1:12" x14ac:dyDescent="0.25">
      <c r="A17" s="1" t="s">
        <v>6</v>
      </c>
      <c r="B17" s="1" t="s">
        <v>11</v>
      </c>
    </row>
    <row r="19" spans="1:12" x14ac:dyDescent="0.25">
      <c r="B19" s="1" t="s">
        <v>41</v>
      </c>
    </row>
    <row r="20" spans="1:12" x14ac:dyDescent="0.25">
      <c r="B20" s="1" t="s">
        <v>48</v>
      </c>
    </row>
    <row r="21" spans="1:12" x14ac:dyDescent="0.25">
      <c r="B21" s="6"/>
      <c r="C21" s="6"/>
      <c r="D21" s="6"/>
      <c r="E21" s="6"/>
      <c r="F21" s="6"/>
      <c r="G21" s="6"/>
      <c r="H21" s="6"/>
      <c r="I21" s="6"/>
    </row>
    <row r="22" spans="1:12" ht="30" x14ac:dyDescent="0.25">
      <c r="B22" s="1" t="s">
        <v>15</v>
      </c>
      <c r="C22" s="1" t="s">
        <v>14</v>
      </c>
      <c r="D22" s="1" t="s">
        <v>16</v>
      </c>
      <c r="E22" s="1" t="s">
        <v>17</v>
      </c>
      <c r="F22" s="1" t="s">
        <v>19</v>
      </c>
      <c r="H22" s="1" t="s">
        <v>26</v>
      </c>
      <c r="I22" s="1" t="s">
        <v>27</v>
      </c>
      <c r="J22" s="1" t="s">
        <v>19</v>
      </c>
      <c r="K22" s="1" t="s">
        <v>30</v>
      </c>
      <c r="L22" s="28" t="s">
        <v>58</v>
      </c>
    </row>
    <row r="23" spans="1:12" x14ac:dyDescent="0.25">
      <c r="B23" s="1" t="s">
        <v>18</v>
      </c>
      <c r="C23" s="1" t="str">
        <f>[1]Summary!$C$4</f>
        <v>C/4</v>
      </c>
      <c r="D23" s="7">
        <f>[1]Summary!$D$4</f>
        <v>19.030714886599998</v>
      </c>
      <c r="E23" s="9">
        <f>E9</f>
        <v>20.215449499999998</v>
      </c>
      <c r="F23" s="7">
        <f>E23-D23</f>
        <v>1.1847346133999999</v>
      </c>
      <c r="G23" s="29">
        <f t="shared" ref="G23:G32" si="5">F23/D23</f>
        <v>6.2253815500867025E-2</v>
      </c>
      <c r="H23" s="7">
        <f>[1]Summary!$G$4</f>
        <v>35473.252548622397</v>
      </c>
      <c r="I23" s="7">
        <f>E23*8*233</f>
        <v>37681.597867999997</v>
      </c>
      <c r="J23" s="7">
        <f t="shared" ref="J23:J32" si="6">I23-H23</f>
        <v>2208.3453193776004</v>
      </c>
      <c r="K23" s="29">
        <f t="shared" ref="K23:K32" si="7">J23/H23</f>
        <v>6.2253815500867046E-2</v>
      </c>
      <c r="L23" s="1">
        <v>900</v>
      </c>
    </row>
    <row r="24" spans="1:12" x14ac:dyDescent="0.25">
      <c r="B24" s="1" t="s">
        <v>28</v>
      </c>
      <c r="C24" s="1" t="str">
        <f>[1]Summary!$C$5</f>
        <v>B/3</v>
      </c>
      <c r="D24" s="7">
        <f>[1]Summary!$D$5</f>
        <v>17.430586999999999</v>
      </c>
      <c r="E24" s="9">
        <f>D8</f>
        <v>18.597577000000001</v>
      </c>
      <c r="F24" s="7">
        <f>E24-D24</f>
        <v>1.166990000000002</v>
      </c>
      <c r="G24" s="29">
        <f t="shared" si="5"/>
        <v>6.6950699939135841E-2</v>
      </c>
      <c r="H24" s="7">
        <f>[1]Summary!$G$5</f>
        <v>36673.955047999996</v>
      </c>
      <c r="I24" s="7">
        <f>8*E24*263</f>
        <v>39129.302007999999</v>
      </c>
      <c r="J24" s="7">
        <f t="shared" si="6"/>
        <v>2455.3469600000026</v>
      </c>
      <c r="K24" s="29">
        <f t="shared" si="7"/>
        <v>6.6950699939135799E-2</v>
      </c>
      <c r="L24" s="1">
        <v>900</v>
      </c>
    </row>
    <row r="25" spans="1:12" x14ac:dyDescent="0.25">
      <c r="B25" s="1" t="s">
        <v>20</v>
      </c>
      <c r="C25" s="1" t="str">
        <f>[1]Summary!$C$6</f>
        <v>C/4</v>
      </c>
      <c r="D25" s="7">
        <f>[1]Summary!$D$6</f>
        <v>19.030714886599998</v>
      </c>
      <c r="E25" s="9">
        <f>E9</f>
        <v>20.215449499999998</v>
      </c>
      <c r="F25" s="7">
        <f>E25-D25</f>
        <v>1.1847346133999999</v>
      </c>
      <c r="G25" s="29">
        <f t="shared" si="5"/>
        <v>6.2253815500867025E-2</v>
      </c>
      <c r="H25" s="7">
        <f>[1]Summary!$G$6</f>
        <v>35473.252548622397</v>
      </c>
      <c r="I25" s="7">
        <f>E25*8*233</f>
        <v>37681.597867999997</v>
      </c>
      <c r="J25" s="7">
        <f t="shared" si="6"/>
        <v>2208.3453193776004</v>
      </c>
      <c r="K25" s="29">
        <f t="shared" si="7"/>
        <v>6.2253815500867046E-2</v>
      </c>
      <c r="L25" s="1">
        <v>900</v>
      </c>
    </row>
    <row r="26" spans="1:12" x14ac:dyDescent="0.25">
      <c r="B26" s="1" t="s">
        <v>21</v>
      </c>
      <c r="C26" s="1" t="str">
        <f>[1]Summary!$C$8</f>
        <v>C/17</v>
      </c>
      <c r="D26" s="7">
        <f>[1]Summary!$D$8</f>
        <v>27.947246402056667</v>
      </c>
      <c r="E26" s="9">
        <f>R9</f>
        <v>29.687069123327564</v>
      </c>
      <c r="F26" s="7">
        <f t="shared" ref="F26:F32" si="8">E26-D26</f>
        <v>1.7398227212708974</v>
      </c>
      <c r="G26" s="29">
        <f t="shared" si="5"/>
        <v>6.2253815500866734E-2</v>
      </c>
      <c r="H26" s="7">
        <f>[1]Summary!$G$8</f>
        <v>58801.006429927227</v>
      </c>
      <c r="I26" s="7">
        <f>E26*8*263</f>
        <v>62461.593435481198</v>
      </c>
      <c r="J26" s="7">
        <f t="shared" si="6"/>
        <v>3660.5870055539708</v>
      </c>
      <c r="K26" s="29">
        <f t="shared" si="7"/>
        <v>6.2253815500866783E-2</v>
      </c>
      <c r="L26" s="1">
        <v>900</v>
      </c>
    </row>
    <row r="27" spans="1:12" x14ac:dyDescent="0.25">
      <c r="B27" s="1" t="s">
        <v>22</v>
      </c>
      <c r="C27" s="1" t="str">
        <f>[1]Summary!$C$9</f>
        <v>A/6</v>
      </c>
      <c r="D27" s="7">
        <f>[1]Summary!$D$9</f>
        <v>17.968748151650004</v>
      </c>
      <c r="E27" s="9">
        <f>G6</f>
        <v>18.258566670225001</v>
      </c>
      <c r="F27" s="7">
        <f t="shared" si="8"/>
        <v>0.28981851857499663</v>
      </c>
      <c r="G27" s="29">
        <f t="shared" si="5"/>
        <v>1.6129032258064325E-2</v>
      </c>
      <c r="H27" s="7">
        <f>[1]Summary!$G$9</f>
        <v>20147.458865037566</v>
      </c>
      <c r="I27" s="7">
        <f>E27*5.75*195</f>
        <v>20472.417878989785</v>
      </c>
      <c r="J27" s="7">
        <f t="shared" si="6"/>
        <v>324.95901395221881</v>
      </c>
      <c r="K27" s="29">
        <f t="shared" si="7"/>
        <v>1.6129032258064516E-2</v>
      </c>
      <c r="L27" s="1">
        <v>0</v>
      </c>
    </row>
    <row r="28" spans="1:12" x14ac:dyDescent="0.25">
      <c r="B28" s="1" t="s">
        <v>23</v>
      </c>
      <c r="C28" s="1" t="str">
        <f>[1]Summary!$C$10</f>
        <v>A/8</v>
      </c>
      <c r="D28" s="7">
        <f>[1]Summary!$D$10</f>
        <v>19.063044914085491</v>
      </c>
      <c r="E28" s="9">
        <f>I6</f>
        <v>19.370513380441704</v>
      </c>
      <c r="F28" s="7">
        <f t="shared" si="8"/>
        <v>0.30746846635621239</v>
      </c>
      <c r="G28" s="29">
        <f t="shared" si="5"/>
        <v>1.6129032258064242E-2</v>
      </c>
      <c r="H28" s="7">
        <f>[1]Summary!$G$10</f>
        <v>21932.033173655356</v>
      </c>
      <c r="I28" s="7">
        <f>E28*5.9*195</f>
        <v>22285.77564419818</v>
      </c>
      <c r="J28" s="7">
        <f t="shared" si="6"/>
        <v>353.74247054282387</v>
      </c>
      <c r="K28" s="29">
        <f t="shared" si="7"/>
        <v>1.6129032258064314E-2</v>
      </c>
      <c r="L28" s="1">
        <v>0</v>
      </c>
    </row>
    <row r="29" spans="1:12" ht="45.75" customHeight="1" x14ac:dyDescent="0.25">
      <c r="B29" s="33" t="s">
        <v>46</v>
      </c>
      <c r="C29" s="1" t="s">
        <v>47</v>
      </c>
      <c r="D29" s="7">
        <f>15</f>
        <v>15</v>
      </c>
      <c r="E29" s="9">
        <f>B7</f>
        <v>16.62</v>
      </c>
      <c r="F29" s="7">
        <f t="shared" si="8"/>
        <v>1.620000000000001</v>
      </c>
      <c r="G29" s="1">
        <f t="shared" si="5"/>
        <v>0.10800000000000007</v>
      </c>
      <c r="H29" s="7" t="e">
        <f>#REF!</f>
        <v>#REF!</v>
      </c>
      <c r="I29" s="7">
        <f>E29*3*181</f>
        <v>9024.66</v>
      </c>
      <c r="J29" s="7" t="e">
        <f>I29-H29</f>
        <v>#REF!</v>
      </c>
      <c r="K29" s="29" t="e">
        <f t="shared" si="7"/>
        <v>#REF!</v>
      </c>
      <c r="L29" s="1">
        <v>0</v>
      </c>
    </row>
    <row r="30" spans="1:12" x14ac:dyDescent="0.25">
      <c r="B30" s="28" t="s">
        <v>38</v>
      </c>
      <c r="C30" s="1" t="str">
        <f>[1]Summary!$C$7</f>
        <v>C/6</v>
      </c>
      <c r="D30" s="7">
        <f>[1]Summary!$D$7</f>
        <v>20.189685423193939</v>
      </c>
      <c r="E30" s="9">
        <f>G9</f>
        <v>21.446570374549996</v>
      </c>
      <c r="F30" s="7">
        <f t="shared" si="8"/>
        <v>1.2568849513560565</v>
      </c>
      <c r="G30" s="1">
        <f t="shared" si="5"/>
        <v>6.2253815500866859E-2</v>
      </c>
      <c r="H30" s="7">
        <f>[1]Summary!$G$7</f>
        <v>30890.218697486725</v>
      </c>
      <c r="I30" s="7">
        <f>E30*7.5*204</f>
        <v>32813.252673061492</v>
      </c>
      <c r="J30" s="7">
        <f t="shared" si="6"/>
        <v>1923.0339755747664</v>
      </c>
      <c r="K30" s="29">
        <f t="shared" si="7"/>
        <v>6.2253815500866859E-2</v>
      </c>
      <c r="L30" s="1">
        <v>0</v>
      </c>
    </row>
    <row r="31" spans="1:12" x14ac:dyDescent="0.25">
      <c r="B31" s="1" t="s">
        <v>24</v>
      </c>
      <c r="C31" s="1" t="str">
        <f>[1]Summary!$C$11</f>
        <v>A/9</v>
      </c>
      <c r="D31" s="7">
        <f>[1]Summary!$D$11</f>
        <v>19.634936261508056</v>
      </c>
      <c r="E31" s="9">
        <f>J6</f>
        <v>19.951628781854954</v>
      </c>
      <c r="F31" s="7">
        <f t="shared" si="8"/>
        <v>0.31669252034689777</v>
      </c>
      <c r="G31" s="1">
        <f t="shared" si="5"/>
        <v>1.6129032258064193E-2</v>
      </c>
      <c r="H31" s="7">
        <f>[1]Summary!$G$11</f>
        <v>22015.672283215907</v>
      </c>
      <c r="I31" s="7">
        <f>E31*5.75*195</f>
        <v>22370.763771654867</v>
      </c>
      <c r="J31" s="7">
        <f t="shared" si="6"/>
        <v>355.09148843896037</v>
      </c>
      <c r="K31" s="29">
        <f t="shared" si="7"/>
        <v>1.6129032258064249E-2</v>
      </c>
      <c r="L31" s="1">
        <v>0</v>
      </c>
    </row>
    <row r="32" spans="1:12" x14ac:dyDescent="0.25">
      <c r="B32" s="1" t="s">
        <v>25</v>
      </c>
      <c r="C32" s="1" t="str">
        <f>[1]Summary!$C$12</f>
        <v>B/5</v>
      </c>
      <c r="D32" s="7">
        <f>[1]Summary!$D$12</f>
        <v>18.492109748299999</v>
      </c>
      <c r="E32" s="9">
        <f>F8</f>
        <v>19.730169439300003</v>
      </c>
      <c r="F32" s="7">
        <f t="shared" si="8"/>
        <v>1.2380596910000037</v>
      </c>
      <c r="G32" s="1">
        <f t="shared" si="5"/>
        <v>6.6950699939135924E-2</v>
      </c>
      <c r="H32" s="7">
        <f>[1]Summary!$G$12</f>
        <v>38907.398910423195</v>
      </c>
      <c r="I32" s="7">
        <f>E32*8*263</f>
        <v>41512.276500287204</v>
      </c>
      <c r="J32" s="7">
        <f t="shared" si="6"/>
        <v>2604.8775898640088</v>
      </c>
      <c r="K32" s="29">
        <f t="shared" si="7"/>
        <v>6.6950699939135966E-2</v>
      </c>
      <c r="L32" s="1">
        <v>900</v>
      </c>
    </row>
    <row r="33" spans="4:11" x14ac:dyDescent="0.25">
      <c r="D33" s="10"/>
      <c r="E33" s="7"/>
      <c r="F33" s="7"/>
      <c r="H33" s="7" t="e">
        <f>SUM(H23:H32)</f>
        <v>#REF!</v>
      </c>
      <c r="I33" s="7">
        <f>SUM(I23:I32)</f>
        <v>325433.23764767265</v>
      </c>
      <c r="J33" s="7" t="e">
        <f>SUM(J23:J32)</f>
        <v>#REF!</v>
      </c>
    </row>
    <row r="34" spans="4:11" x14ac:dyDescent="0.25">
      <c r="D34" s="7"/>
      <c r="E34" s="7"/>
      <c r="F34" s="7"/>
      <c r="J34" s="11" t="e">
        <f>J33/H33</f>
        <v>#REF!</v>
      </c>
      <c r="K34" s="1" t="s">
        <v>39</v>
      </c>
    </row>
    <row r="35" spans="4:11" x14ac:dyDescent="0.25">
      <c r="D35" s="7"/>
      <c r="E35" s="7"/>
      <c r="F35" s="7"/>
    </row>
    <row r="36" spans="4:11" ht="45" x14ac:dyDescent="0.25">
      <c r="D36" s="7"/>
      <c r="E36" s="7"/>
      <c r="F36" s="7"/>
      <c r="H36" s="28" t="s">
        <v>55</v>
      </c>
      <c r="I36" s="10">
        <v>2.46E-2</v>
      </c>
    </row>
    <row r="37" spans="4:11" ht="45" x14ac:dyDescent="0.25">
      <c r="D37" s="7"/>
      <c r="E37" s="7"/>
      <c r="F37" s="7"/>
      <c r="G37" s="28" t="s">
        <v>51</v>
      </c>
      <c r="H37" s="28" t="s">
        <v>56</v>
      </c>
      <c r="I37" s="10">
        <v>0.08</v>
      </c>
    </row>
    <row r="38" spans="4:11" x14ac:dyDescent="0.25">
      <c r="D38" s="7"/>
      <c r="E38" s="7"/>
      <c r="F38" s="1" t="s">
        <v>53</v>
      </c>
      <c r="G38" s="1">
        <v>57000</v>
      </c>
      <c r="H38" s="31"/>
    </row>
    <row r="39" spans="4:11" x14ac:dyDescent="0.25">
      <c r="F39" s="1" t="s">
        <v>54</v>
      </c>
      <c r="G39" s="1">
        <v>61500</v>
      </c>
    </row>
    <row r="40" spans="4:11" ht="45" x14ac:dyDescent="0.25">
      <c r="H40" s="28" t="s">
        <v>52</v>
      </c>
      <c r="I40" s="10">
        <v>8.1000000000000003E-2</v>
      </c>
      <c r="J40" s="1" t="s">
        <v>57</v>
      </c>
    </row>
    <row r="41" spans="4:11" x14ac:dyDescent="0.25">
      <c r="H41" s="1" t="s">
        <v>59</v>
      </c>
      <c r="I41" s="32">
        <f>SUM(I36:I40)</f>
        <v>0.18559999999999999</v>
      </c>
    </row>
  </sheetData>
  <mergeCells count="2">
    <mergeCell ref="A1:U1"/>
    <mergeCell ref="A2:U2"/>
  </mergeCells>
  <pageMargins left="0.7" right="0.7" top="0.75" bottom="0.75" header="0.3" footer="0.3"/>
  <pageSetup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K27" sqref="K27"/>
    </sheetView>
  </sheetViews>
  <sheetFormatPr defaultRowHeight="15" x14ac:dyDescent="0.25"/>
  <sheetData>
    <row r="1" spans="1:21" ht="18.75" x14ac:dyDescent="0.3">
      <c r="A1" s="71" t="s">
        <v>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18.75" x14ac:dyDescent="0.3">
      <c r="A2" s="71" t="s">
        <v>45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18.75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5.75" x14ac:dyDescent="0.25">
      <c r="A4" s="1" t="s">
        <v>0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4">
        <v>20</v>
      </c>
    </row>
    <row r="5" spans="1:21" ht="15.75" x14ac:dyDescent="0.25">
      <c r="A5" s="1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.75" x14ac:dyDescent="0.25">
      <c r="A6" s="2" t="s">
        <v>2</v>
      </c>
      <c r="B6" s="3">
        <v>15.5</v>
      </c>
      <c r="C6" s="3">
        <f>B6*0.03+B6</f>
        <v>15.965</v>
      </c>
      <c r="D6" s="3">
        <f t="shared" ref="D6:S9" si="0">C6*0.03+C6</f>
        <v>16.443950000000001</v>
      </c>
      <c r="E6" s="3">
        <f t="shared" si="0"/>
        <v>16.937268500000002</v>
      </c>
      <c r="F6" s="3">
        <f t="shared" si="0"/>
        <v>17.445386555000002</v>
      </c>
      <c r="G6" s="3">
        <f t="shared" si="0"/>
        <v>17.968748151650004</v>
      </c>
      <c r="H6" s="3">
        <f t="shared" si="0"/>
        <v>18.507810596199505</v>
      </c>
      <c r="I6" s="3">
        <f t="shared" si="0"/>
        <v>19.063044914085491</v>
      </c>
      <c r="J6" s="3">
        <f t="shared" si="0"/>
        <v>19.634936261508056</v>
      </c>
      <c r="K6" s="3">
        <f t="shared" si="0"/>
        <v>20.223984349353298</v>
      </c>
      <c r="L6" s="3">
        <f t="shared" si="0"/>
        <v>20.830703879833898</v>
      </c>
      <c r="M6" s="3">
        <f t="shared" si="0"/>
        <v>21.455624996228917</v>
      </c>
      <c r="N6" s="3">
        <f t="shared" si="0"/>
        <v>22.099293746115784</v>
      </c>
      <c r="O6" s="3">
        <f t="shared" si="0"/>
        <v>22.762272558499259</v>
      </c>
      <c r="P6" s="3">
        <f t="shared" si="0"/>
        <v>23.445140735254235</v>
      </c>
      <c r="Q6" s="3">
        <f t="shared" si="0"/>
        <v>24.148494957311861</v>
      </c>
      <c r="R6" s="3">
        <f t="shared" si="0"/>
        <v>24.872949806031215</v>
      </c>
      <c r="S6" s="3">
        <f t="shared" si="0"/>
        <v>25.619138300212153</v>
      </c>
      <c r="T6" s="3">
        <f t="shared" ref="T6:U9" si="1">S6*0.03+S6</f>
        <v>26.387712449218519</v>
      </c>
      <c r="U6" s="3">
        <f t="shared" si="1"/>
        <v>27.179343822695074</v>
      </c>
    </row>
    <row r="7" spans="1:21" ht="15.75" x14ac:dyDescent="0.25">
      <c r="A7" s="2" t="s">
        <v>3</v>
      </c>
      <c r="B7" s="3">
        <f>B6*0.06+B6</f>
        <v>16.43</v>
      </c>
      <c r="C7" s="3">
        <f>B7*0.03+B7</f>
        <v>16.922899999999998</v>
      </c>
      <c r="D7" s="3">
        <f t="shared" si="0"/>
        <v>17.430586999999999</v>
      </c>
      <c r="E7" s="3">
        <f t="shared" si="0"/>
        <v>17.95350461</v>
      </c>
      <c r="F7" s="3">
        <f t="shared" si="0"/>
        <v>18.492109748299999</v>
      </c>
      <c r="G7" s="3">
        <f t="shared" si="0"/>
        <v>19.046873040748999</v>
      </c>
      <c r="H7" s="3">
        <f t="shared" si="0"/>
        <v>19.618279231971467</v>
      </c>
      <c r="I7" s="3">
        <f t="shared" si="0"/>
        <v>20.20682760893061</v>
      </c>
      <c r="J7" s="3">
        <f t="shared" si="0"/>
        <v>20.81303243719853</v>
      </c>
      <c r="K7" s="3">
        <f t="shared" si="0"/>
        <v>21.437423410314487</v>
      </c>
      <c r="L7" s="3">
        <f t="shared" si="0"/>
        <v>22.080546112623921</v>
      </c>
      <c r="M7" s="3">
        <f t="shared" si="0"/>
        <v>22.74296249600264</v>
      </c>
      <c r="N7" s="3">
        <f t="shared" si="0"/>
        <v>23.425251370882719</v>
      </c>
      <c r="O7" s="3">
        <f t="shared" si="0"/>
        <v>24.1280089120092</v>
      </c>
      <c r="P7" s="3">
        <f t="shared" si="0"/>
        <v>24.851849179369477</v>
      </c>
      <c r="Q7" s="3">
        <f t="shared" si="0"/>
        <v>25.597404654750562</v>
      </c>
      <c r="R7" s="3">
        <f t="shared" si="0"/>
        <v>26.365326794393081</v>
      </c>
      <c r="S7" s="3">
        <f t="shared" si="0"/>
        <v>27.156286598224874</v>
      </c>
      <c r="T7" s="3">
        <f t="shared" si="1"/>
        <v>27.970975196171619</v>
      </c>
      <c r="U7" s="3">
        <f t="shared" si="1"/>
        <v>28.810104452056766</v>
      </c>
    </row>
    <row r="8" spans="1:21" ht="15.75" x14ac:dyDescent="0.25">
      <c r="A8" s="2" t="s">
        <v>4</v>
      </c>
      <c r="B8" s="3">
        <f>B7*0.06+B7</f>
        <v>17.415800000000001</v>
      </c>
      <c r="C8" s="3">
        <f>B8*0.03+B8</f>
        <v>17.938274</v>
      </c>
      <c r="D8" s="3">
        <f t="shared" si="0"/>
        <v>18.47642222</v>
      </c>
      <c r="E8" s="3">
        <f t="shared" si="0"/>
        <v>19.030714886599998</v>
      </c>
      <c r="F8" s="3">
        <f t="shared" si="0"/>
        <v>19.601636333197998</v>
      </c>
      <c r="G8" s="3">
        <f t="shared" si="0"/>
        <v>20.189685423193939</v>
      </c>
      <c r="H8" s="3">
        <f t="shared" si="0"/>
        <v>20.795375985889759</v>
      </c>
      <c r="I8" s="3">
        <f t="shared" si="0"/>
        <v>21.419237265466453</v>
      </c>
      <c r="J8" s="3">
        <f t="shared" si="0"/>
        <v>22.061814383430448</v>
      </c>
      <c r="K8" s="3">
        <f t="shared" si="0"/>
        <v>22.723668814933362</v>
      </c>
      <c r="L8" s="3">
        <f t="shared" si="0"/>
        <v>23.405378879381363</v>
      </c>
      <c r="M8" s="3">
        <f t="shared" si="0"/>
        <v>24.107540245762802</v>
      </c>
      <c r="N8" s="3">
        <f t="shared" si="0"/>
        <v>24.830766453135688</v>
      </c>
      <c r="O8" s="3">
        <f t="shared" si="0"/>
        <v>25.575689446729758</v>
      </c>
      <c r="P8" s="3">
        <f t="shared" si="0"/>
        <v>26.342960130131651</v>
      </c>
      <c r="Q8" s="3">
        <f t="shared" si="0"/>
        <v>27.133248934035599</v>
      </c>
      <c r="R8" s="3">
        <f t="shared" si="0"/>
        <v>27.947246402056667</v>
      </c>
      <c r="S8" s="3">
        <f t="shared" si="0"/>
        <v>28.785663794118367</v>
      </c>
      <c r="T8" s="3">
        <f t="shared" si="1"/>
        <v>29.649233707941917</v>
      </c>
      <c r="U8" s="3">
        <f t="shared" si="1"/>
        <v>30.538710719180173</v>
      </c>
    </row>
    <row r="9" spans="1:21" ht="15.75" x14ac:dyDescent="0.25">
      <c r="A9" s="2" t="s">
        <v>5</v>
      </c>
      <c r="B9" s="3">
        <f>B8*0.06+B8</f>
        <v>18.460748000000002</v>
      </c>
      <c r="C9" s="3">
        <f>B9*0.03+B9</f>
        <v>19.014570440000004</v>
      </c>
      <c r="D9" s="3">
        <f t="shared" si="0"/>
        <v>19.585007553200004</v>
      </c>
      <c r="E9" s="3">
        <f t="shared" si="0"/>
        <v>20.172557779796005</v>
      </c>
      <c r="F9" s="3">
        <f t="shared" si="0"/>
        <v>20.777734513189884</v>
      </c>
      <c r="G9" s="3">
        <f t="shared" si="0"/>
        <v>21.401066548585579</v>
      </c>
      <c r="H9" s="3">
        <f t="shared" si="0"/>
        <v>22.043098545043147</v>
      </c>
      <c r="I9" s="3">
        <f t="shared" si="0"/>
        <v>22.70439150139444</v>
      </c>
      <c r="J9" s="3">
        <f t="shared" si="0"/>
        <v>23.385523246436271</v>
      </c>
      <c r="K9" s="3">
        <f t="shared" si="0"/>
        <v>24.087088943829361</v>
      </c>
      <c r="L9" s="3">
        <f t="shared" si="0"/>
        <v>24.809701612144242</v>
      </c>
      <c r="M9" s="3">
        <f t="shared" si="0"/>
        <v>25.55399266050857</v>
      </c>
      <c r="N9" s="3">
        <f t="shared" si="0"/>
        <v>26.320612440323828</v>
      </c>
      <c r="O9" s="3">
        <f t="shared" si="0"/>
        <v>27.110230813533544</v>
      </c>
      <c r="P9" s="3">
        <f t="shared" si="0"/>
        <v>27.923537737939551</v>
      </c>
      <c r="Q9" s="3">
        <f t="shared" si="0"/>
        <v>28.761243870077738</v>
      </c>
      <c r="R9" s="3">
        <f t="shared" si="0"/>
        <v>29.624081186180071</v>
      </c>
      <c r="S9" s="3">
        <f t="shared" si="0"/>
        <v>30.512803621765475</v>
      </c>
      <c r="T9" s="3">
        <f t="shared" si="1"/>
        <v>31.42818773041844</v>
      </c>
      <c r="U9" s="3">
        <f t="shared" si="1"/>
        <v>32.371033362330991</v>
      </c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 t="s">
        <v>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 t="s">
        <v>2</v>
      </c>
      <c r="B12" s="6" t="s">
        <v>63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 t="s">
        <v>3</v>
      </c>
      <c r="B13" s="6" t="s">
        <v>60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 t="s">
        <v>4</v>
      </c>
      <c r="B14" s="1" t="s">
        <v>61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 t="s">
        <v>5</v>
      </c>
      <c r="B15" s="1" t="s">
        <v>11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 t="s">
        <v>48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 t="s">
        <v>64</v>
      </c>
      <c r="C19" s="6"/>
      <c r="D19" s="6"/>
      <c r="E19" s="6"/>
      <c r="F19" s="6"/>
      <c r="G19" s="6"/>
      <c r="H19" s="6"/>
      <c r="I19" s="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 t="s">
        <v>65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</sheetData>
  <mergeCells count="2">
    <mergeCell ref="A1:U1"/>
    <mergeCell ref="A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22-23 NEW</vt:lpstr>
      <vt:lpstr>2022-23 Approved</vt:lpstr>
      <vt:lpstr>OLD</vt:lpstr>
      <vt:lpstr>2021-22</vt:lpstr>
      <vt:lpstr>Out of Class Pay</vt:lpstr>
      <vt:lpstr>Stipend</vt:lpstr>
      <vt:lpstr>Proposed by CSEA</vt:lpstr>
      <vt:lpstr>22-23 Approved</vt:lpstr>
      <vt:lpstr>'2022-23 Approved'!Print_Area</vt:lpstr>
      <vt:lpstr>'22-23 NEW'!Print_Area</vt:lpstr>
    </vt:vector>
  </TitlesOfParts>
  <Company>LCOE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Von Ins</dc:creator>
  <cp:lastModifiedBy>Heather Von Ins</cp:lastModifiedBy>
  <cp:lastPrinted>2023-03-08T22:08:37Z</cp:lastPrinted>
  <dcterms:created xsi:type="dcterms:W3CDTF">2020-05-07T19:06:56Z</dcterms:created>
  <dcterms:modified xsi:type="dcterms:W3CDTF">2023-03-08T22:08:42Z</dcterms:modified>
</cp:coreProperties>
</file>